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z3orlrCRnuOibgSTA0TgtO2kn8N9NbPww/ZQIUosWXAFbfAs/ccqVkdNcz0ke70ZuEZqH4LHfuzGTDpl42dWuQ==" workbookSaltValue="1ML/w7iB1X0Sb8gacC/1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H28" i="2"/>
  <c r="F16" i="11"/>
  <c r="AQ16" i="11" s="1"/>
  <c r="U13" i="16"/>
  <c r="P13" i="14"/>
  <c r="R13" i="14" s="1"/>
  <c r="R13" i="17"/>
  <c r="R8" i="9"/>
  <c r="X12" i="21" s="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C32" i="20"/>
  <c r="O10" i="11"/>
  <c r="AP32" i="20"/>
  <c r="AQ32" i="20"/>
  <c r="AA32" i="20"/>
  <c r="AN32" i="20"/>
  <c r="AD32" i="20"/>
  <c r="AV32" i="20"/>
  <c r="U17" i="11"/>
  <c r="W32" i="21"/>
  <c r="K17" i="12" l="1"/>
  <c r="I10" i="12"/>
  <c r="I16" i="12"/>
  <c r="K9" i="12"/>
  <c r="BF23" i="13"/>
  <c r="T13" i="11"/>
  <c r="R19" i="14"/>
  <c r="R12" i="14"/>
  <c r="S29" i="14"/>
  <c r="V29" i="14" s="1"/>
  <c r="S19" i="14"/>
  <c r="V19" i="14" s="1"/>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20" i="11"/>
  <c r="BU12" i="17"/>
  <c r="BH25" i="16"/>
  <c r="BL19" i="11"/>
  <c r="BJ18" i="11"/>
  <c r="BM17" i="11"/>
  <c r="BF21" i="11"/>
  <c r="BF17" i="11"/>
  <c r="P17" i="11" s="1"/>
  <c r="BL12" i="11"/>
  <c r="BK21" i="11"/>
  <c r="BI25" i="11"/>
  <c r="V13" i="11"/>
  <c r="BI19" i="11"/>
  <c r="AP22" i="20"/>
  <c r="R25" i="14"/>
  <c r="BL25" i="11"/>
  <c r="Q25" i="11" s="1"/>
  <c r="AZ9" i="11"/>
  <c r="T16" i="16"/>
  <c r="BV19" i="16"/>
  <c r="BW18" i="20"/>
  <c r="BW12" i="20"/>
  <c r="BW16" i="20"/>
  <c r="BV10" i="16"/>
  <c r="V12" i="16"/>
  <c r="S22" i="17"/>
  <c r="BF20" i="11"/>
  <c r="S16" i="16"/>
  <c r="BL20" i="11"/>
  <c r="BL16" i="11"/>
  <c r="BH21" i="11"/>
  <c r="AZ25" i="11"/>
  <c r="AZ30" i="11" s="1"/>
  <c r="BK17" i="11"/>
  <c r="BK23" i="11" s="1"/>
  <c r="BM18" i="11"/>
  <c r="BH17" i="11"/>
  <c r="BH23" i="11" s="1"/>
  <c r="AQ12" i="21"/>
  <c r="BH25" i="11"/>
  <c r="BI21" i="11"/>
  <c r="L10" i="2"/>
  <c r="X21" i="20"/>
  <c r="L16" i="2"/>
  <c r="L18" i="2"/>
  <c r="X16" i="16"/>
  <c r="X23" i="16" s="1"/>
  <c r="L9" i="2"/>
  <c r="V25" i="16"/>
  <c r="AP17" i="20"/>
  <c r="BJ22" i="11"/>
  <c r="BG10" i="11"/>
  <c r="V11" i="16"/>
  <c r="V25" i="11"/>
  <c r="BF10" i="11"/>
  <c r="Q10" i="11" s="1"/>
  <c r="V11" i="11"/>
  <c r="BM12" i="11"/>
  <c r="V9" i="11"/>
  <c r="BJ16" i="11"/>
  <c r="BJ23" i="11" s="1"/>
  <c r="AP16" i="20"/>
  <c r="BG19" i="11"/>
  <c r="BL29" i="11"/>
  <c r="BW20" i="20"/>
  <c r="BW33" i="20" s="1"/>
  <c r="BV18" i="16"/>
  <c r="BV12" i="16"/>
  <c r="BV14" i="16" s="1"/>
  <c r="BV16" i="16"/>
  <c r="U10" i="17"/>
  <c r="BU18" i="17"/>
  <c r="S25" i="17"/>
  <c r="AZ11" i="11"/>
  <c r="P16" i="17"/>
  <c r="P23" i="17" s="1"/>
  <c r="P31" i="17" s="1"/>
  <c r="BF12" i="11"/>
  <c r="BK20" i="11"/>
  <c r="BJ10" i="11"/>
  <c r="Q16" i="17"/>
  <c r="Q23" i="17" s="1"/>
  <c r="Q31" i="17" s="1"/>
  <c r="BF16" i="11"/>
  <c r="BL22" i="11"/>
  <c r="BI22" i="11"/>
  <c r="BK10" i="11"/>
  <c r="L28" i="2"/>
  <c r="L17" i="2"/>
  <c r="AA11"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P25" i="11"/>
  <c r="S23" i="16"/>
  <c r="S31" i="16" s="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<sst xmlns="http://schemas.openxmlformats.org/spreadsheetml/2006/main" count="2682" uniqueCount="1193">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</sst>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zfan1IuUmHZyXThtzVaQA9rD9/OZtnlZYK9W/STg7VNrGM548hCVvzILn3Vb2P4d82tV0BCryFcMYf500Wkyw==" saltValue="uFtX690hiXxV0hZ4V2bT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65</v>
      </c>
      <c r="D10" s="239">
        <f>IF(ISNUMBER(Datos!I10),Datos!I10," - ")</f>
        <v>65</v>
      </c>
      <c r="E10" s="240">
        <f>IF(ISNUMBER(Datos!J10),Datos!J10," - ")</f>
        <v>9</v>
      </c>
      <c r="F10" s="240">
        <f>IF(ISNUMBER(Datos!K10),Datos!K10," - ")</f>
        <v>7</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3.0769230769230771E-2</v>
      </c>
      <c r="L10" s="1402">
        <f>IF(ISNUMBER(NºAsuntos!I10/NºAsuntos!G10),(NºAsuntos!I10/NºAsuntos!G10)*11," - ")</f>
        <v>105.28571428571428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40.11333333333333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65</v>
      </c>
      <c r="D14" s="1407">
        <f>SUBTOTAL(9,D9:D13)</f>
        <v>65</v>
      </c>
      <c r="E14" s="1408">
        <f>SUBTOTAL(9,E9:E13)</f>
        <v>9</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987</v>
      </c>
      <c r="D17" s="239">
        <f>IF(ISNUMBER(IF(D_I="SI",Datos!I17,Datos!I17+Datos!AC17)),IF(D_I="SI",Datos!I17,Datos!I17+Datos!AC17)," - ")</f>
        <v>848</v>
      </c>
      <c r="E17" s="240">
        <f>IF(ISNUMBER(IF(D_I="SI",Datos!J17,Datos!J17+Datos!AD17)),IF(D_I="SI",Datos!J17,Datos!J17+Datos!AD17)," - ")</f>
        <v>836</v>
      </c>
      <c r="F17" s="240">
        <f>IF(ISNUMBER(IF(D_I="SI",Datos!K17,Datos!K17+Datos!AE17)),IF(D_I="SI",Datos!K17,Datos!K17+Datos!AE17)," - ")</f>
        <v>850</v>
      </c>
      <c r="G17" s="1390" t="str">
        <f>IF(Datos!E17&lt;&gt;"",Datos!E17,Datos!D17)</f>
        <v>04</v>
      </c>
      <c r="H17" s="241">
        <f>IF(ISNUMBER(IF(D_I="SI",Datos!L17,Datos!L17+Datos!AF17)),IF(D_I="SI",Datos!L17,Datos!L17+Datos!AF17)," - ")</f>
        <v>973</v>
      </c>
      <c r="I17" s="1400" t="str">
        <f>IF(ISNUMBER(Datos!AS17/Datos!BM17),Datos!AS17/Datos!BM17," - ")</f>
        <v xml:space="preserve"> - </v>
      </c>
      <c r="J17" s="1401">
        <f>IF(ISNUMBER(Datos!BY17/Datos!CN17),Datos!BY17/Datos!CN17," - ")</f>
        <v>0</v>
      </c>
      <c r="K17" s="244">
        <f t="shared" si="3"/>
        <v>-1.4184397163120567E-2</v>
      </c>
      <c r="L17" s="1402">
        <f>IF(ISNUMBER(NºAsuntos!I17/NºAsuntos!G17),(NºAsuntos!I17/NºAsuntos!G17)*11," - ")</f>
        <v>12.591764705882353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80</v>
      </c>
      <c r="E18" s="240">
        <f>IF(ISNUMBER(IF(D_I="SI",Datos!J18,Datos!J18+Datos!AD18)),IF(D_I="SI",Datos!J18,Datos!J18+Datos!AD18)," - ")</f>
        <v>220</v>
      </c>
      <c r="F18" s="240">
        <f>IF(ISNUMBER(IF(D_I="SI",Datos!K18,Datos!K18+Datos!AE18)),IF(D_I="SI",Datos!K18,Datos!K18+Datos!AE18)," - ")</f>
        <v>229</v>
      </c>
      <c r="G18" s="1390" t="str">
        <f>IF(Datos!E18&lt;&gt;"",Datos!E18,Datos!D18)</f>
        <v>37</v>
      </c>
      <c r="H18" s="241">
        <f>IF(ISNUMBER(IF(D_I="SI",Datos!L18,Datos!L18+Datos!AF18)),IF(D_I="SI",Datos!L18,Datos!L18+Datos!AF18)," - ")</f>
        <v>76</v>
      </c>
      <c r="I18" s="1400" t="str">
        <f>IF(ISNUMBER(Datos!AS18/Datos!BM18),Datos!AS18/Datos!BM18," - ")</f>
        <v xml:space="preserve"> - </v>
      </c>
      <c r="J18" s="1401" t="str">
        <f>IF(ISNUMBER((Datos!BY18+Datos!BZ18)/Datos!CN18),(Datos!BY18+Datos!BZ18)/Datos!CN18," - ")</f>
        <v xml:space="preserve"> - </v>
      </c>
      <c r="K18" s="244">
        <f t="shared" si="3"/>
        <v>-0.10588235294117647</v>
      </c>
      <c r="L18" s="1402">
        <f>IF(ISNUMBER(NºAsuntos!I18/NºAsuntos!G18),(NºAsuntos!I18/NºAsuntos!G18)*11," - ")</f>
        <v>3.6506550218340612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1072</v>
      </c>
      <c r="D23" s="1407">
        <f>SUBTOTAL(9,D16:D22)</f>
        <v>928</v>
      </c>
      <c r="E23" s="1408">
        <f>SUBTOTAL(9,E16:E22)</f>
        <v>1056</v>
      </c>
      <c r="F23" s="1408">
        <f>SUBTOTAL(9,F16:F22)</f>
        <v>1079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1137</v>
      </c>
      <c r="D31" s="1435">
        <f>SUBTOTAL(9,D9:D30)</f>
        <v>993</v>
      </c>
      <c r="E31" s="1436">
        <f>SUBTOTAL(9,E9:E30)</f>
        <v>1065</v>
      </c>
      <c r="F31" s="1436">
        <f>SUBTOTAL(9,F9:F30)</f>
        <v>1086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YKosJI/REugMtBtTbCNhUrZCCXSVMsVZlyZy0dd+LqoUaAPs04y7Je5jdXfG2+6lbE4+zpAbGvQL+PIaINmug==" saltValue="MasMShYXhpwmn4uwPmNI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OIH9UnCNi01Kkf9mIXlj4dgdnOvDFGxHdwdq9vSzdo/Jtf4KglzHq9fPA/xcc84NxEsssJsU+sMG4vpDzgVMw==" saltValue="gjeYebu7Gk4TfP7NSak7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65</v>
      </c>
      <c r="J10" s="194">
        <v>9</v>
      </c>
      <c r="K10" s="194">
        <v>7</v>
      </c>
      <c r="L10" s="194">
        <v>67</v>
      </c>
      <c r="M10" s="194">
        <v>4</v>
      </c>
      <c r="N10" s="194">
        <v>0</v>
      </c>
      <c r="O10" s="194">
        <v>0</v>
      </c>
      <c r="P10" s="194">
        <v>0</v>
      </c>
      <c r="Q10" s="194">
        <v>0</v>
      </c>
      <c r="R10" s="194">
        <v>5</v>
      </c>
      <c r="S10" s="194">
        <v>77</v>
      </c>
      <c r="T10" s="194">
        <v>6</v>
      </c>
      <c r="U10" s="194">
        <v>2</v>
      </c>
      <c r="V10" s="194">
        <v>81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77</v>
      </c>
      <c r="AZ10" s="139">
        <f t="shared" si="0"/>
        <v>6</v>
      </c>
      <c r="BA10" s="139">
        <f t="shared" si="0"/>
        <v>2</v>
      </c>
      <c r="BB10" s="139">
        <f t="shared" si="0"/>
        <v>81</v>
      </c>
      <c r="BC10" s="135">
        <f t="shared" si="0"/>
        <v>2</v>
      </c>
      <c r="BD10" s="136">
        <f>IF(ISNUMBER(BA10/AZ10),BA10/AZ10," - ")</f>
        <v>0.33333333333333331</v>
      </c>
      <c r="BE10" s="137">
        <f>IF(ISNUMBER(BB10/BA10),BB10/BA10, " - ")</f>
        <v>40.5</v>
      </c>
      <c r="BF10" s="137">
        <f>IF(ISNUMBER(BC10/BA10),BC10/BA10, " - ")</f>
        <v>1</v>
      </c>
      <c r="BG10" s="209">
        <f>IF(ISNUMBER((AY10+AZ10)/BA10),(AY10+AZ10)/BA10," - ")</f>
        <v>41.5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3071</v>
      </c>
      <c r="J12" s="196">
        <v>621</v>
      </c>
      <c r="K12" s="196">
        <v>840</v>
      </c>
      <c r="L12" s="196">
        <v>3177</v>
      </c>
      <c r="M12" s="196">
        <v>168</v>
      </c>
      <c r="N12" s="196">
        <v>370</v>
      </c>
      <c r="O12" s="194">
        <v>421</v>
      </c>
      <c r="P12" s="196">
        <v>160</v>
      </c>
      <c r="Q12" s="196">
        <v>108</v>
      </c>
      <c r="R12" s="196">
        <v>5873</v>
      </c>
      <c r="S12" s="196">
        <v>3471</v>
      </c>
      <c r="T12" s="196">
        <v>431</v>
      </c>
      <c r="U12" s="196">
        <v>711</v>
      </c>
      <c r="V12" s="196">
        <v>3295</v>
      </c>
      <c r="W12" s="196">
        <v>126</v>
      </c>
      <c r="X12" s="202">
        <v>218</v>
      </c>
      <c r="Y12" s="204">
        <v>136</v>
      </c>
      <c r="Z12" s="194">
        <v>46</v>
      </c>
      <c r="AA12" s="194">
        <v>60</v>
      </c>
      <c r="AB12" s="194">
        <v>105</v>
      </c>
      <c r="AC12" s="196">
        <v>0</v>
      </c>
      <c r="AD12" s="196">
        <v>0</v>
      </c>
      <c r="AE12" s="196">
        <v>0</v>
      </c>
      <c r="AF12" s="202">
        <v>0</v>
      </c>
      <c r="AG12" s="215">
        <v>125</v>
      </c>
      <c r="AH12" s="196">
        <v>62</v>
      </c>
      <c r="AI12" s="196">
        <v>59</v>
      </c>
      <c r="AJ12" s="216">
        <v>124</v>
      </c>
      <c r="AK12" s="195">
        <v>0</v>
      </c>
      <c r="AL12" s="196">
        <v>0</v>
      </c>
      <c r="AM12" s="196">
        <v>0</v>
      </c>
      <c r="AN12" s="202">
        <v>0</v>
      </c>
      <c r="AO12" s="283">
        <v>4</v>
      </c>
      <c r="AP12" s="168">
        <v>4</v>
      </c>
      <c r="AQ12" s="168">
        <v>4</v>
      </c>
      <c r="AR12" s="167">
        <v>4</v>
      </c>
      <c r="AS12" s="381" t="s">
        <v>1075</v>
      </c>
      <c r="AT12" s="216"/>
      <c r="AU12" s="215"/>
      <c r="AV12" s="216"/>
      <c r="AW12" s="215"/>
      <c r="AX12" s="216"/>
      <c r="AY12" s="136">
        <f t="shared" si="1"/>
        <v>3596</v>
      </c>
      <c r="AZ12" s="137">
        <f t="shared" si="1"/>
        <v>493</v>
      </c>
      <c r="BA12" s="137">
        <f t="shared" si="1"/>
        <v>770</v>
      </c>
      <c r="BB12" s="137">
        <f t="shared" si="1"/>
        <v>3419</v>
      </c>
      <c r="BC12" s="135">
        <f>IF(ISNUMBER(X12),X12," - ")</f>
        <v>218</v>
      </c>
      <c r="BD12" s="136">
        <f t="shared" si="2"/>
        <v>1.561866125760649</v>
      </c>
      <c r="BE12" s="137">
        <f t="shared" si="3"/>
        <v>4.4402597402597399</v>
      </c>
      <c r="BF12" s="137">
        <f t="shared" si="4"/>
        <v>0.2831168831168831</v>
      </c>
      <c r="BG12" s="209">
        <f t="shared" si="5"/>
        <v>5.3103896103896107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3136</v>
      </c>
      <c r="J14" s="197">
        <f t="shared" si="7"/>
        <v>630</v>
      </c>
      <c r="K14" s="197">
        <f t="shared" si="7"/>
        <v>847</v>
      </c>
      <c r="L14" s="197">
        <f t="shared" si="7"/>
        <v>3244</v>
      </c>
      <c r="M14" s="197">
        <f t="shared" si="7"/>
        <v>172</v>
      </c>
      <c r="N14" s="197">
        <f t="shared" si="7"/>
        <v>370</v>
      </c>
      <c r="O14" s="197">
        <f t="shared" si="7"/>
        <v>421</v>
      </c>
      <c r="P14" s="197">
        <f t="shared" si="7"/>
        <v>160</v>
      </c>
      <c r="Q14" s="197">
        <f t="shared" si="7"/>
        <v>108</v>
      </c>
      <c r="R14" s="197">
        <f t="shared" si="7"/>
        <v>5878</v>
      </c>
      <c r="S14" s="197">
        <f t="shared" si="7"/>
        <v>3548</v>
      </c>
      <c r="T14" s="197">
        <f t="shared" si="7"/>
        <v>437</v>
      </c>
      <c r="U14" s="197">
        <f t="shared" si="7"/>
        <v>713</v>
      </c>
      <c r="V14" s="197">
        <f t="shared" si="7"/>
        <v>3376</v>
      </c>
      <c r="W14" s="197">
        <f t="shared" si="7"/>
        <v>128</v>
      </c>
      <c r="X14" s="197">
        <f t="shared" si="7"/>
        <v>218</v>
      </c>
      <c r="Y14" s="197">
        <f t="shared" si="7"/>
        <v>136</v>
      </c>
      <c r="Z14" s="197">
        <f t="shared" si="7"/>
        <v>46</v>
      </c>
      <c r="AA14" s="197">
        <f t="shared" si="7"/>
        <v>60</v>
      </c>
      <c r="AB14" s="197">
        <f t="shared" si="7"/>
        <v>105</v>
      </c>
      <c r="AC14" s="197">
        <f t="shared" si="7"/>
        <v>0</v>
      </c>
      <c r="AD14" s="197">
        <f t="shared" si="7"/>
        <v>0</v>
      </c>
      <c r="AE14" s="197">
        <f t="shared" si="7"/>
        <v>0</v>
      </c>
      <c r="AF14" s="197">
        <f>SUBTOTAL(9,AF9:AF13)</f>
        <v>0</v>
      </c>
      <c r="AG14" s="197">
        <f t="shared" ref="AG14:AT14" si="8">SUBTOTAL(9,AG8:AG13)</f>
        <v>125</v>
      </c>
      <c r="AH14" s="197">
        <f t="shared" si="8"/>
        <v>62</v>
      </c>
      <c r="AI14" s="197">
        <f t="shared" si="8"/>
        <v>59</v>
      </c>
      <c r="AJ14" s="197">
        <f t="shared" si="8"/>
        <v>124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3673</v>
      </c>
      <c r="AZ14" s="197">
        <f>SUBTOTAL(9,AZ8:AZ13)</f>
        <v>499</v>
      </c>
      <c r="BA14" s="197">
        <f>SUBTOTAL(9,BA8:BA13)</f>
        <v>772</v>
      </c>
      <c r="BB14" s="197">
        <f>SUBTOTAL(9,BB8:BB13)</f>
        <v>3500</v>
      </c>
      <c r="BC14" s="197">
        <f>SUBTOTAL(9,BC8:BC13)</f>
        <v>220</v>
      </c>
      <c r="BD14" s="219">
        <f>IF(ISNUMBER(BA14/AZ14),BA14/AZ14," - ")</f>
        <v>1.5470941883767535</v>
      </c>
      <c r="BE14" s="220">
        <f>IF(ISNUMBER(BB14/BA14),BB14/BA14, " - ")</f>
        <v>4.5336787564766841</v>
      </c>
      <c r="BF14" s="220">
        <f>IF(ISNUMBER(BC14/BA14),BC14/BA14, " - ")</f>
        <v>0.28497409326424872</v>
      </c>
      <c r="BG14" s="221">
        <f>IF(ISNUMBER((AY14+AZ14)/BA14),(AY14+AZ14)/BA14," - ")</f>
        <v>5.4041450777202069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848</v>
      </c>
      <c r="J17" s="196">
        <v>836</v>
      </c>
      <c r="K17" s="196">
        <v>850</v>
      </c>
      <c r="L17" s="196">
        <v>973</v>
      </c>
      <c r="M17" s="196">
        <v>119</v>
      </c>
      <c r="N17" s="196">
        <v>502</v>
      </c>
      <c r="O17" s="194">
        <v>0</v>
      </c>
      <c r="P17" s="196">
        <v>9</v>
      </c>
      <c r="Q17" s="196">
        <v>9</v>
      </c>
      <c r="R17" s="196">
        <v>114</v>
      </c>
      <c r="S17" s="196">
        <v>851</v>
      </c>
      <c r="T17" s="196">
        <v>641</v>
      </c>
      <c r="U17" s="196">
        <v>674</v>
      </c>
      <c r="V17" s="196">
        <v>794</v>
      </c>
      <c r="W17" s="196">
        <v>102</v>
      </c>
      <c r="X17" s="202">
        <v>386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851</v>
      </c>
      <c r="AZ17" s="137">
        <f t="shared" si="10"/>
        <v>641</v>
      </c>
      <c r="BA17" s="137">
        <f t="shared" si="10"/>
        <v>674</v>
      </c>
      <c r="BB17" s="137">
        <f t="shared" si="10"/>
        <v>794</v>
      </c>
      <c r="BC17" s="135">
        <f>IF(ISNUMBER(W17),W17," - ")</f>
        <v>102</v>
      </c>
      <c r="BD17" s="136">
        <f t="shared" ref="BD17:BD22" si="12">IF(ISNUMBER(BA17/AZ17),BA17/AZ17," - ")</f>
        <v>1.0514820592823713</v>
      </c>
      <c r="BE17" s="137">
        <f t="shared" ref="BE17:BE22" si="13">IF(ISNUMBER(BB17/BA17),BB17/BA17, " - ")</f>
        <v>1.1780415430267062</v>
      </c>
      <c r="BF17" s="137">
        <f t="shared" ref="BF17:BF22" si="14">IF(ISNUMBER(BC17/BA17),BC17/BA17, " - ")</f>
        <v>0.1513353115727003</v>
      </c>
      <c r="BG17" s="209">
        <f t="shared" si="11"/>
        <v>2.2136498516320473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80</v>
      </c>
      <c r="J18" s="196">
        <v>220</v>
      </c>
      <c r="K18" s="196">
        <v>229</v>
      </c>
      <c r="L18" s="196">
        <v>76</v>
      </c>
      <c r="M18" s="196">
        <v>26</v>
      </c>
      <c r="N18" s="196">
        <v>132</v>
      </c>
      <c r="O18" s="196">
        <v>0</v>
      </c>
      <c r="P18" s="196">
        <v>2</v>
      </c>
      <c r="Q18" s="196">
        <v>2</v>
      </c>
      <c r="R18" s="196">
        <v>1</v>
      </c>
      <c r="S18" s="196">
        <v>36</v>
      </c>
      <c r="T18" s="196">
        <v>114</v>
      </c>
      <c r="U18" s="196">
        <v>97</v>
      </c>
      <c r="V18" s="196">
        <v>53</v>
      </c>
      <c r="W18" s="196">
        <v>17</v>
      </c>
      <c r="X18" s="202">
        <v>53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36</v>
      </c>
      <c r="AZ18" s="139">
        <f t="shared" si="15"/>
        <v>114</v>
      </c>
      <c r="BA18" s="139">
        <f t="shared" si="15"/>
        <v>97</v>
      </c>
      <c r="BB18" s="139">
        <f t="shared" si="15"/>
        <v>53</v>
      </c>
      <c r="BC18" s="135">
        <f>IF(ISNUMBER(W18),W18," - ")</f>
        <v>17</v>
      </c>
      <c r="BD18" s="136">
        <f>IF(ISNUMBER(BA18/AZ18),BA18/AZ18," - ")</f>
        <v>0.85087719298245612</v>
      </c>
      <c r="BE18" s="137">
        <f>IF(ISNUMBER(BB18/BA18),BB18/BA18, " - ")</f>
        <v>0.54639175257731953</v>
      </c>
      <c r="BF18" s="137">
        <f>IF(ISNUMBER(BC18/BA18),BC18/BA18, " - ")</f>
        <v>0.17525773195876287</v>
      </c>
      <c r="BG18" s="209">
        <f>IF(ISNUMBER((AY18+AZ18)/BA18),(AY18+AZ18)/BA18," - ")</f>
        <v>1.5463917525773196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928</v>
      </c>
      <c r="J23" s="197">
        <f t="shared" si="21"/>
        <v>1056</v>
      </c>
      <c r="K23" s="197">
        <f t="shared" si="21"/>
        <v>1079</v>
      </c>
      <c r="L23" s="197">
        <f t="shared" si="21"/>
        <v>1049</v>
      </c>
      <c r="M23" s="197">
        <f t="shared" si="21"/>
        <v>145</v>
      </c>
      <c r="N23" s="197">
        <f t="shared" si="21"/>
        <v>634</v>
      </c>
      <c r="O23" s="197">
        <f t="shared" si="21"/>
        <v>0</v>
      </c>
      <c r="P23" s="197">
        <f t="shared" si="21"/>
        <v>11</v>
      </c>
      <c r="Q23" s="197">
        <f t="shared" si="21"/>
        <v>11</v>
      </c>
      <c r="R23" s="197">
        <f t="shared" si="21"/>
        <v>115</v>
      </c>
      <c r="S23" s="197">
        <f t="shared" si="21"/>
        <v>887</v>
      </c>
      <c r="T23" s="197">
        <f t="shared" si="21"/>
        <v>755</v>
      </c>
      <c r="U23" s="197">
        <f t="shared" si="21"/>
        <v>771</v>
      </c>
      <c r="V23" s="197">
        <f t="shared" si="21"/>
        <v>847</v>
      </c>
      <c r="W23" s="197">
        <f t="shared" si="21"/>
        <v>119</v>
      </c>
      <c r="X23" s="197">
        <f t="shared" si="21"/>
        <v>439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887</v>
      </c>
      <c r="AZ23" s="197">
        <f>SUBTOTAL(9,AZ15:AZ22)</f>
        <v>755</v>
      </c>
      <c r="BA23" s="197">
        <f>SUBTOTAL(9,BA15:BA22)</f>
        <v>771</v>
      </c>
      <c r="BB23" s="197">
        <f>SUBTOTAL(9,BB15:BB22)</f>
        <v>847</v>
      </c>
      <c r="BC23" s="197">
        <f>SUBTOTAL(9,BC15:BC22)</f>
        <v>119</v>
      </c>
      <c r="BD23" s="219">
        <f>IF(ISNUMBER(BA23/AZ23),BA23/AZ23," - ")</f>
        <v>1.0211920529801324</v>
      </c>
      <c r="BE23" s="220">
        <f>IF(ISNUMBER(BB23/BA23),BB23/BA23, " - ")</f>
        <v>1.098573281452659</v>
      </c>
      <c r="BF23" s="220">
        <f>IF(ISNUMBER(BC23/BA23),BC23/BA23, " - ")</f>
        <v>0.15434500648508431</v>
      </c>
      <c r="BG23" s="221">
        <f>IF(ISNUMBER((AY23+AZ23)/BA23),(AY23+AZ23)/BA23," - ")</f>
        <v>2.1297016861219196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4064</v>
      </c>
      <c r="J31" s="144">
        <f t="shared" si="36"/>
        <v>1686</v>
      </c>
      <c r="K31" s="144">
        <f t="shared" si="36"/>
        <v>1926</v>
      </c>
      <c r="L31" s="144">
        <f t="shared" si="36"/>
        <v>4293</v>
      </c>
      <c r="M31" s="144">
        <f t="shared" si="36"/>
        <v>317</v>
      </c>
      <c r="N31" s="144">
        <f t="shared" si="36"/>
        <v>1004</v>
      </c>
      <c r="O31" s="144">
        <f t="shared" si="36"/>
        <v>421</v>
      </c>
      <c r="P31" s="144">
        <f t="shared" si="36"/>
        <v>171</v>
      </c>
      <c r="Q31" s="144">
        <f t="shared" si="36"/>
        <v>119</v>
      </c>
      <c r="R31" s="144">
        <f t="shared" si="36"/>
        <v>5993</v>
      </c>
      <c r="S31" s="144">
        <f t="shared" si="36"/>
        <v>4435</v>
      </c>
      <c r="T31" s="144">
        <f t="shared" si="36"/>
        <v>1192</v>
      </c>
      <c r="U31" s="144">
        <f t="shared" si="36"/>
        <v>1484</v>
      </c>
      <c r="V31" s="144">
        <f t="shared" si="36"/>
        <v>4223</v>
      </c>
      <c r="W31" s="144">
        <f t="shared" si="36"/>
        <v>247</v>
      </c>
      <c r="X31" s="144">
        <f t="shared" si="36"/>
        <v>657</v>
      </c>
      <c r="Y31" s="144">
        <f t="shared" si="36"/>
        <v>136</v>
      </c>
      <c r="Z31" s="144">
        <f t="shared" si="36"/>
        <v>46</v>
      </c>
      <c r="AA31" s="144">
        <f t="shared" si="36"/>
        <v>60</v>
      </c>
      <c r="AB31" s="144">
        <f t="shared" si="36"/>
        <v>105</v>
      </c>
      <c r="AC31" s="144">
        <f t="shared" si="36"/>
        <v>0</v>
      </c>
      <c r="AD31" s="144">
        <f t="shared" si="36"/>
        <v>0</v>
      </c>
      <c r="AE31" s="144">
        <f t="shared" si="36"/>
        <v>0</v>
      </c>
      <c r="AF31" s="144">
        <f t="shared" si="36"/>
        <v>0</v>
      </c>
      <c r="AG31" s="144">
        <f t="shared" si="36"/>
        <v>125</v>
      </c>
      <c r="AH31" s="144">
        <f t="shared" si="36"/>
        <v>62</v>
      </c>
      <c r="AI31" s="144">
        <f t="shared" si="36"/>
        <v>59</v>
      </c>
      <c r="AJ31" s="144">
        <f t="shared" si="36"/>
        <v>124</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4560</v>
      </c>
      <c r="AZ31" s="144">
        <f>SUBTOTAL(9,AZ9:AZ30)</f>
        <v>1254</v>
      </c>
      <c r="BA31" s="144">
        <f>SUBTOTAL(9,BA9:BA30)</f>
        <v>1543</v>
      </c>
      <c r="BB31" s="144">
        <f>SUBTOTAL(9,BB9:BB30)</f>
        <v>4347</v>
      </c>
      <c r="BC31" s="145">
        <f>SUBTOTAL(9,BC9:BC30)</f>
        <v>339</v>
      </c>
      <c r="BD31" s="227">
        <f>IF(ISNUMBER(BA31/AZ31),BA31/AZ31," - ")</f>
        <v>1.2304625199362043</v>
      </c>
      <c r="BE31" s="224">
        <f>IF(ISNUMBER(BB31/BA31),BB31/BA31, " - ")</f>
        <v>2.8172391445236551</v>
      </c>
      <c r="BF31" s="224">
        <f>IF(ISNUMBER(BC31/BA31),BC31/BA31, " - ")</f>
        <v>0.21970187945560596</v>
      </c>
      <c r="BG31" s="145">
        <f>IF(ISNUMBER((AY31+AZ31)/BA31),(AY31+AZ31)/BA31," - ")</f>
        <v>3.7679844458846401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8D7EdKPupbvfmvJXLWb8sNwiQ2xDOU5gomW1TW3/LmNsImj4nh9VE0ej/RlyetjYpJAyBr3YnvpUIZxDkiSJQ==" saltValue="ZJfT7e0+mPKnqExs2BC2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233D4TWpuEErqEwlnuMrK1CduS4s27H6nq6trHiK7vDwGOcDpvaXPjzXMMVMzx+Y9363OkYiXMAixy+zHpyA==" saltValue="+PosN2MRFxOV6jTBknDG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65</v>
      </c>
      <c r="G10" s="543">
        <f>IF(ISNUMBER(Datos!I10),Datos!I10," - ")</f>
        <v>65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67</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0.77777777777777779</v>
      </c>
      <c r="BH10" s="764">
        <f>IF(ISNUMBER(((Datos!L10/Datos!K10)*11)/factor_trimestre),((Datos!L10/Datos!K10)*11)/factor_trimestre," - ")</f>
        <v>19.142857142857142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v>
      </c>
      <c r="O12" s="549"/>
      <c r="P12" s="549"/>
      <c r="Q12" s="547">
        <f>IF(ISNUMBER(Datos!P12),Datos!P12,0)</f>
        <v>160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105</v>
      </c>
      <c r="AI12" s="549" t="str">
        <f>IF(ISNUMBER(Datos!CD12),Datos!CD12,"-")</f>
        <v>-</v>
      </c>
      <c r="AJ12" s="549" t="str">
        <f>IF(ISNUMBER(Datos!EN12),Datos!EN12," - ")</f>
        <v xml:space="preserve"> - </v>
      </c>
      <c r="AK12" s="549"/>
      <c r="AL12" s="550"/>
      <c r="AM12" s="766">
        <f>IF(ISNUMBER(Datos!R12),Datos!R12," - ")</f>
        <v>5873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168</v>
      </c>
      <c r="BD12" s="693">
        <f>IF(ISNUMBER(Datos!N12),Datos!N12," - ")</f>
        <v>370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1.3493253373313343</v>
      </c>
      <c r="BH12" s="764">
        <f>IF(ISNUMBER(((IF(J_V="SI",Datos!L12/Datos!K12,(Datos!L12+Datos!AB12)/(Datos!K12+Datos!AA12)))*11)/factor_trimestre),((IF(J_V="SI",Datos!L12/Datos!K12,(Datos!L12+Datos!AB12)/(Datos!K12+Datos!AA12)))*11)/factor_trimestre," - ")</f>
        <v>7.293333333333333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8.9331729943308708E-3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65</v>
      </c>
      <c r="G14" s="1197">
        <f t="shared" si="1"/>
        <v>65</v>
      </c>
      <c r="H14" s="1198">
        <f t="shared" si="1"/>
        <v>0</v>
      </c>
      <c r="I14" s="1197">
        <f t="shared" si="1"/>
        <v>0</v>
      </c>
      <c r="J14" s="1164">
        <f t="shared" si="1"/>
        <v>0</v>
      </c>
      <c r="K14" s="1164">
        <f t="shared" si="1"/>
        <v>0</v>
      </c>
      <c r="L14" s="1198">
        <f t="shared" si="1"/>
        <v>0</v>
      </c>
      <c r="M14" s="1198">
        <f t="shared" si="1"/>
        <v>0</v>
      </c>
      <c r="N14" s="1198">
        <f t="shared" si="1"/>
        <v>46</v>
      </c>
      <c r="O14" s="1199">
        <f t="shared" si="1"/>
        <v>0</v>
      </c>
      <c r="P14" s="1199">
        <f t="shared" si="1"/>
        <v>0</v>
      </c>
      <c r="Q14" s="1198">
        <f t="shared" si="1"/>
        <v>160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108</v>
      </c>
      <c r="AD14" s="1198">
        <f t="shared" si="2"/>
        <v>0</v>
      </c>
      <c r="AE14" s="1198">
        <f t="shared" si="2"/>
        <v>0</v>
      </c>
      <c r="AF14" s="1198">
        <f t="shared" si="2"/>
        <v>67</v>
      </c>
      <c r="AG14" s="1198">
        <f t="shared" si="2"/>
        <v>0</v>
      </c>
      <c r="AH14" s="1198">
        <f t="shared" si="2"/>
        <v>105</v>
      </c>
      <c r="AI14" s="1198">
        <f t="shared" si="2"/>
        <v>0</v>
      </c>
      <c r="AJ14" s="1198">
        <f t="shared" si="2"/>
        <v>0</v>
      </c>
      <c r="AK14" s="1198">
        <f t="shared" si="2"/>
        <v>0</v>
      </c>
      <c r="AL14" s="1198">
        <f t="shared" si="2"/>
        <v>0</v>
      </c>
      <c r="AM14" s="1198">
        <f t="shared" si="2"/>
        <v>5878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172</v>
      </c>
      <c r="BD14" s="1198">
        <f t="shared" si="2"/>
        <v>370</v>
      </c>
      <c r="BE14" s="1198">
        <f t="shared" si="2"/>
        <v>0</v>
      </c>
      <c r="BF14" s="1198">
        <f t="shared" si="2"/>
        <v>0</v>
      </c>
      <c r="BG14" s="1198">
        <f>IF(ISNUMBER(Datos!K14/Datos!J14),Datos!K14/Datos!J14," - ")</f>
        <v>1.3444444444444446</v>
      </c>
      <c r="BH14" s="1202">
        <f>IF(ISNUMBER(((Datos!L14/Datos!K14)*11)/factor_trimestre),((Datos!L14/Datos!K14)*11)/factor_trimestre," - ")</f>
        <v>7.6599763872491158</v>
      </c>
      <c r="BI14" s="1198">
        <f>IF(ISNUMBER('Resol  Asuntos'!D14/NºAsuntos!G14),'Resol  Asuntos'!D14/NºAsuntos!G14," - ")</f>
        <v>0.18963616317530319</v>
      </c>
      <c r="BJ14" s="1198" t="str">
        <f>IF(ISNUMBER(Datos!CI14/Datos!CJ14),Datos!CI14/Datos!CJ14," - ")</f>
        <v xml:space="preserve"> - </v>
      </c>
      <c r="BK14" s="1198">
        <f>SUBTOTAL(9,BK8:BK13)</f>
        <v>0</v>
      </c>
      <c r="BL14" s="1198">
        <f>IF(ISNUMBER((I14-AB14+L14)/(F14)),(I14-AB14+L14)/(F14)," - ")</f>
        <v>-0.1076923076923077</v>
      </c>
      <c r="BM14" s="1203">
        <f>SUBTOTAL(9,BM9:BM13)</f>
        <v>8.9331729943308708E-3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987</v>
      </c>
      <c r="G17" s="743">
        <f>IF(ISNUMBER(IF(D_I="SI",Datos!I17,Datos!I17+Datos!AC17)),IF(D_I="SI",Datos!I17,Datos!I17+Datos!AC17)," - ")</f>
        <v>848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850</v>
      </c>
      <c r="AC17" s="240">
        <f>IF(ISNUMBER(Datos!Q17),Datos!Q17," - ")</f>
        <v>9</v>
      </c>
      <c r="AD17" s="374"/>
      <c r="AE17" s="562"/>
      <c r="AF17" s="741">
        <f>IF(ISNUMBER(IF(D_I="SI",Datos!L17,Datos!L17+Datos!AF17)),IF(D_I="SI",Datos!L17,Datos!L17+Datos!AF17)," - ")</f>
        <v>973</v>
      </c>
      <c r="AG17" s="374"/>
      <c r="AH17" s="374"/>
      <c r="AI17" s="374"/>
      <c r="AJ17" s="549"/>
      <c r="AK17" s="374"/>
      <c r="AL17" s="545"/>
      <c r="AM17" s="375">
        <f>IF(ISNUMBER(Datos!R17),Datos!R17," - ")</f>
        <v>114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119</v>
      </c>
      <c r="BD17" s="243">
        <f>IF(ISNUMBER(Datos!N17),Datos!N17," - ")</f>
        <v>502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1.0167464114832536</v>
      </c>
      <c r="BH17" s="764">
        <f>IF(ISNUMBER(((IF(D_I="SI",Datos!L17/Datos!K17,(Datos!L17+Datos!AF17)/(Datos!K17+Datos!AE17)))*11)/factor_trimestre),((IF(D_I="SI",Datos!L17/Datos!K17,(Datos!L17+Datos!AF17)/(Datos!K17+Datos!AE17)))*11)/factor_trimestre," - ")</f>
        <v>2.2894117647058825</v>
      </c>
      <c r="BI17" s="266">
        <f>IF(ISNUMBER('Resol  Asuntos'!D17/NºAsuntos!G17),'Resol  Asuntos'!D17/NºAsuntos!G17," - ")</f>
        <v>0.14000000000000001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229</v>
      </c>
      <c r="AC18" s="547">
        <f>IF(ISNUMBER(Datos!Q18),Datos!Q18," - ")</f>
        <v>2</v>
      </c>
      <c r="AD18" s="549"/>
      <c r="AE18" s="562"/>
      <c r="AF18" s="551">
        <f>IF(ISNUMBER(Datos!L18),Datos!L18,"-")</f>
        <v>76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132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1.040909090909091</v>
      </c>
      <c r="BH18" s="764">
        <f>IF(ISNUMBER(((IF(D_I="SI",Datos!L18/Datos!K18,(Datos!L18+Datos!AF18)/(Datos!K18+Datos!AE18)))*11)/factor_trimestre),((IF(D_I="SI",Datos!L18/Datos!K18,(Datos!L18+Datos!AF18)/(Datos!K18+Datos!AE18)))*11)/factor_trimestre," - ")</f>
        <v>0.66375545851528384</v>
      </c>
      <c r="BI18" s="763">
        <f>IF(ISNUMBER('Resol  Asuntos'!D18/NºAsuntos!G18),'Resol  Asuntos'!D18/NºAsuntos!G18," - ")</f>
        <v>0.11353711790393013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987</v>
      </c>
      <c r="G23" s="1197">
        <f>SUBTOTAL(9,G16:G22)</f>
        <v>928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1079</v>
      </c>
      <c r="AC23" s="1198">
        <f t="shared" si="5"/>
        <v>11</v>
      </c>
      <c r="AD23" s="1198">
        <f t="shared" si="5"/>
        <v>0</v>
      </c>
      <c r="AE23" s="1198">
        <f t="shared" si="5"/>
        <v>0</v>
      </c>
      <c r="AF23" s="1198">
        <f t="shared" si="5"/>
        <v>1049</v>
      </c>
      <c r="AG23" s="1198">
        <f t="shared" si="5"/>
        <v>0</v>
      </c>
      <c r="AH23" s="1198">
        <f t="shared" si="5"/>
        <v>0</v>
      </c>
      <c r="AI23" s="1198">
        <f t="shared" si="5"/>
        <v>0</v>
      </c>
      <c r="AJ23" s="1198">
        <f t="shared" si="5"/>
        <v>0</v>
      </c>
      <c r="AK23" s="1198">
        <f t="shared" si="5"/>
        <v>0</v>
      </c>
      <c r="AL23" s="1198">
        <f t="shared" si="5"/>
        <v>0</v>
      </c>
      <c r="AM23" s="1198">
        <f t="shared" si="5"/>
        <v>115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145</v>
      </c>
      <c r="BD23" s="1198">
        <f t="shared" si="5"/>
        <v>634</v>
      </c>
      <c r="BE23" s="1198">
        <f t="shared" si="5"/>
        <v>0</v>
      </c>
      <c r="BF23" s="1198">
        <f t="shared" si="5"/>
        <v>0</v>
      </c>
      <c r="BG23" s="1198">
        <f>IF(ISNUMBER(Datos!K23/Datos!J23),Datos!K23/Datos!J23," - ")</f>
        <v>1.021780303030303</v>
      </c>
      <c r="BH23" s="1202">
        <f>IF(ISNUMBER(((Datos!L23/Datos!K23)*11)/factor_trimestre),((Datos!L23/Datos!K23)*11)/factor_trimestre," - ")</f>
        <v>1.9443929564411493</v>
      </c>
      <c r="BI23" s="1198">
        <f>SUBTOTAL(9,BI16:BI22)</f>
        <v>0.25353711790393013</v>
      </c>
      <c r="BJ23" s="1198">
        <f>SUBTOTAL(9,BJ16:BJ22)</f>
        <v>0</v>
      </c>
      <c r="BK23" s="1198">
        <f>SUBTOTAL(9,BK16:BK22)</f>
        <v>0</v>
      </c>
      <c r="BL23" s="1198">
        <f>IF(ISNUMBER((I23-AB23+L23)/(F23)),(I23-AB23+L23)/(F23)," - ")</f>
        <v>-1.0932117527862208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1052</v>
      </c>
      <c r="G31" s="1117">
        <f t="shared" si="18"/>
        <v>993</v>
      </c>
      <c r="H31" s="1119">
        <f t="shared" si="18"/>
        <v>0</v>
      </c>
      <c r="I31" s="1117">
        <f t="shared" si="18"/>
        <v>0</v>
      </c>
      <c r="J31" s="1119">
        <f t="shared" si="18"/>
        <v>0</v>
      </c>
      <c r="K31" s="1119">
        <f t="shared" si="18"/>
        <v>0</v>
      </c>
      <c r="L31" s="1180">
        <f t="shared" si="18"/>
        <v>0</v>
      </c>
      <c r="M31" s="1180">
        <f t="shared" si="18"/>
        <v>0</v>
      </c>
      <c r="N31" s="1180">
        <f t="shared" si="18"/>
        <v>46</v>
      </c>
      <c r="O31" s="1180">
        <f t="shared" si="18"/>
        <v>0</v>
      </c>
      <c r="P31" s="1180">
        <f t="shared" si="18"/>
        <v>0</v>
      </c>
      <c r="Q31" s="1119">
        <f t="shared" si="18"/>
        <v>171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1086</v>
      </c>
      <c r="AC31" s="1118">
        <f t="shared" si="19"/>
        <v>119</v>
      </c>
      <c r="AD31" s="1118">
        <f t="shared" si="19"/>
        <v>0</v>
      </c>
      <c r="AE31" s="1118">
        <f t="shared" si="19"/>
        <v>0</v>
      </c>
      <c r="AF31" s="1125">
        <f t="shared" si="19"/>
        <v>1116</v>
      </c>
      <c r="AG31" s="1125">
        <f t="shared" si="19"/>
        <v>0</v>
      </c>
      <c r="AH31" s="1125">
        <f t="shared" si="19"/>
        <v>105</v>
      </c>
      <c r="AI31" s="1125">
        <f t="shared" si="19"/>
        <v>0</v>
      </c>
      <c r="AJ31" s="1118">
        <f t="shared" si="19"/>
        <v>0</v>
      </c>
      <c r="AK31" s="1125">
        <f t="shared" si="19"/>
        <v>0</v>
      </c>
      <c r="AL31" s="1125">
        <f t="shared" si="19"/>
        <v>0</v>
      </c>
      <c r="AM31" s="1125">
        <f t="shared" si="19"/>
        <v>5993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317</v>
      </c>
      <c r="BD31" s="1117">
        <f t="shared" si="19"/>
        <v>1004</v>
      </c>
      <c r="BE31" s="1117">
        <f t="shared" si="19"/>
        <v>0</v>
      </c>
      <c r="BF31" s="1127">
        <f t="shared" si="19"/>
        <v>0</v>
      </c>
      <c r="BG31" s="1223">
        <f>IF(ISNUMBER(Datos!K31/Datos!J31),Datos!K31/Datos!J31," - ")</f>
        <v>1.1423487544483986</v>
      </c>
      <c r="BH31" s="1223">
        <f>IF(ISNUMBER(((Datos!L31/Datos!K31)*11)/factor_trimestre),((Datos!L31/Datos!K31)*11)/factor_trimestre," - ")</f>
        <v>4.4579439252336446</v>
      </c>
      <c r="BI31" s="1103">
        <f>IF(ISNUMBER(Datos!J31/Datos!I31),Datos!J31/Datos!I31," - ")</f>
        <v>0.41486220472440943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-1.0323193916349811</v>
      </c>
      <c r="BM31" s="1188">
        <f>IF(ISNUMBER((Datos!P31-Datos!Q31+R31)/(Datos!R31-Datos!P31+Datos!Q31-R31)),(Datos!P31-Datos!Q31+R31)/(Datos!R31-Datos!P31+Datos!Q31-R31)," - ")</f>
        <v>8.7527352297592995E-3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493.75810541870266</v>
      </c>
      <c r="G33" s="674">
        <f>IF(ISNUMBER(STDEV(G8:G30)),STDEV(G8:G30),"-")</f>
        <v>414.66481013211717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459.22750871643649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78.777716211048997</v>
      </c>
      <c r="BD33" s="673"/>
      <c r="BE33" s="673">
        <f>IF(ISNUMBER(STDEV(BE8:BE30)),STDEV(BE8:BE30),"-")</f>
        <v>0</v>
      </c>
      <c r="BF33" s="678">
        <f>IF(ISNUMBER(STDEV(BF8:BF30)),STDEV(BF8:BF30),"-")</f>
        <v>0</v>
      </c>
      <c r="BG33" s="1052">
        <f>IF(ISNUMBER(STDEV(BG8:BG30)),STDEV(BG8:BG30),"-")</f>
        <v>0.21994733408837872</v>
      </c>
      <c r="BH33" s="1058">
        <f>IF(ISNUMBER(STDEV(BH8:BH30)),STDEV(BH8:BH30),"-")</f>
        <v>6.8463291236055284</v>
      </c>
      <c r="BI33" s="273">
        <f>IF(ISNUMBER(STDEV(BI8:BI30)),STDEV(BI8:BI30),"-")</f>
        <v>6.1596202989017676E-2</v>
      </c>
      <c r="BJ33" s="244" t="str">
        <f>IF(ISNUMBER(BL33/BM33),BL33/BM33," - ")</f>
        <v xml:space="preserve"> - </v>
      </c>
      <c r="BK33" s="709"/>
      <c r="BL33" s="681">
        <f>IF(ISNUMBER(STDEV(BL8:BL30)),STDEV(BL8:BL30),"-")</f>
        <v>0.6968674826171094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06tRq0VlUciUiCgOgAPRJQJYyxGC4WJdJUCANp+QXH5DqKEPIPDCC8nbWu82p1TPY7tztkJKVckkq3M9VRM1A==" saltValue="OLUNMQ6nJ/z3qRAoBvHd3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65</v>
      </c>
      <c r="G10" s="552">
        <f>IF(ISNUMBER(Datos!I10),Datos!I10," - ")</f>
        <v>65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67</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19.142857142857142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108</v>
      </c>
      <c r="AA12" s="551" t="str">
        <f>IF(ISNUMBER(IF(J_V="SI",Datos!L12,Datos!L12+Datos!AB12)-IF(Monitorios="SI",Datos!CD12,0)),
                          IF(J_V="SI",Datos!L12,Datos!L12+Datos!AB12)-IF(Monitorios="SI",Datos!CD12,0),
                          " - ")</f>
        <v xml:space="preserve"> - </v>
      </c>
      <c r="AB12" s="549"/>
      <c r="AC12" s="549"/>
      <c r="AD12" s="563"/>
      <c r="AE12" s="563">
        <f>IF(ISNUMBER(Datos!R12),Datos!R12," - ")</f>
        <v>5873</v>
      </c>
      <c r="AF12" s="693" t="str">
        <f>IF(ISNUMBER(Datos!BV12),Datos!BV12," - ")</f>
        <v xml:space="preserve"> - </v>
      </c>
      <c r="AG12" s="552" t="str">
        <f>IF(ISNUMBER(Datos!DV12),Datos!DV12," - ")</f>
        <v xml:space="preserve"> - </v>
      </c>
      <c r="AH12" s="553"/>
      <c r="AI12" s="554"/>
      <c r="AJ12" s="552">
        <f>IF(ISNUMBER(Datos!M12),Datos!M12," - ")</f>
        <v>168</v>
      </c>
      <c r="AK12" s="693">
        <f>IF(ISNUMBER(Datos!N12),Datos!N12," - ")</f>
        <v>370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7.293333333333333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8.9331729943308708E-3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65</v>
      </c>
      <c r="G14" s="1197">
        <f>SUBTOTAL(9,G8:G13)</f>
        <v>65</v>
      </c>
      <c r="H14" s="1211"/>
      <c r="I14" s="1197">
        <f t="shared" ref="I14:N14" si="1">SUBTOTAL(9,I8:I13)</f>
        <v>0</v>
      </c>
      <c r="J14" s="1164">
        <f t="shared" si="1"/>
        <v>0</v>
      </c>
      <c r="K14" s="1211">
        <f t="shared" si="1"/>
        <v>0</v>
      </c>
      <c r="L14" s="1211">
        <f t="shared" si="1"/>
        <v>0</v>
      </c>
      <c r="M14" s="1211">
        <f t="shared" si="1"/>
        <v>0</v>
      </c>
      <c r="N14" s="1211">
        <f t="shared" si="1"/>
        <v>160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108</v>
      </c>
      <c r="AA14" s="1199">
        <f t="shared" si="3"/>
        <v>67</v>
      </c>
      <c r="AB14" s="1199">
        <f t="shared" si="3"/>
        <v>0</v>
      </c>
      <c r="AC14" s="1199">
        <f t="shared" si="3"/>
        <v>0</v>
      </c>
      <c r="AD14" s="1199">
        <f t="shared" si="3"/>
        <v>0</v>
      </c>
      <c r="AE14" s="1199">
        <f t="shared" si="3"/>
        <v>5878</v>
      </c>
      <c r="AF14" s="1211">
        <f t="shared" si="3"/>
        <v>0</v>
      </c>
      <c r="AG14" s="1211">
        <f t="shared" si="3"/>
        <v>0</v>
      </c>
      <c r="AH14" s="1211">
        <f t="shared" si="3"/>
        <v>0</v>
      </c>
      <c r="AI14" s="1211">
        <f t="shared" si="3"/>
        <v>0</v>
      </c>
      <c r="AJ14" s="1211">
        <f t="shared" si="3"/>
        <v>172</v>
      </c>
      <c r="AK14" s="1211">
        <f t="shared" si="3"/>
        <v>370</v>
      </c>
      <c r="AL14" s="1211">
        <f t="shared" si="3"/>
        <v>0</v>
      </c>
      <c r="AM14" s="1211">
        <f t="shared" si="3"/>
        <v>0</v>
      </c>
      <c r="AN14" s="1211">
        <f t="shared" si="3"/>
        <v>0</v>
      </c>
      <c r="AO14" s="1203">
        <f>IF(ISNUMBER(((NºAsuntos!I14/NºAsuntos!G14)*11)/factor_trimestre),((NºAsuntos!I14/NºAsuntos!G14)*11)/factor_trimestre," - ")</f>
        <v>7.3847850055126791</v>
      </c>
      <c r="AP14" s="1213" t="str">
        <f>IF(ISNUMBER(Datos!CI14/Datos!CJ14),Datos!CI14/Datos!CJ14," - ")</f>
        <v xml:space="preserve"> - </v>
      </c>
      <c r="AQ14" s="1236">
        <f t="shared" ref="AQ14:AV14" si="4">SUBTOTAL(9,AQ9:AQ13)</f>
        <v>0</v>
      </c>
      <c r="AR14" s="1236">
        <f t="shared" si="4"/>
        <v>8.9331729943308708E-3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987</v>
      </c>
      <c r="G17" s="552">
        <f>IF(ISNUMBER(IF(D_I="SI",Datos!I17,Datos!I17+Datos!AC17)),IF(D_I="SI",Datos!I17,Datos!I17+Datos!AC17)," - ")</f>
        <v>848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850</v>
      </c>
      <c r="Z17" s="805">
        <f>IF(ISNUMBER(Datos!Q17),Datos!Q17," - ")</f>
        <v>9</v>
      </c>
      <c r="AA17" s="551">
        <f>IF(ISNUMBER(IF(D_I="SI",Datos!L17,Datos!L17+Datos!AF17)),IF(D_I="SI",Datos!L17,Datos!L17+Datos!AF17)," - ")</f>
        <v>973</v>
      </c>
      <c r="AB17" s="549"/>
      <c r="AC17" s="549"/>
      <c r="AD17" s="563"/>
      <c r="AE17" s="563">
        <f>IF(ISNUMBER(Datos!R17),Datos!R17," - ")</f>
        <v>114</v>
      </c>
      <c r="AF17" s="693" t="str">
        <f>IF(ISNUMBER(Datos!BV17),Datos!BV17," - ")</f>
        <v xml:space="preserve"> - </v>
      </c>
      <c r="AG17" s="552"/>
      <c r="AH17" s="553"/>
      <c r="AI17" s="554"/>
      <c r="AJ17" s="552">
        <f>IF(ISNUMBER(Datos!M17),Datos!M17," - ")</f>
        <v>119</v>
      </c>
      <c r="AK17" s="693">
        <f>IF(ISNUMBER(Datos!N17),Datos!N17," - ")</f>
        <v>502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2.2894117647058825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229</v>
      </c>
      <c r="Z18" s="805">
        <f>IF(ISNUMBER(Datos!Q18),Datos!Q18," - ")</f>
        <v>2</v>
      </c>
      <c r="AA18" s="551">
        <f>IF(ISNUMBER(Datos!L18),Datos!L18,"-")</f>
        <v>76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26</v>
      </c>
      <c r="AK18" s="693">
        <f>IF(ISNUMBER(Datos!N18),Datos!N18," - ")</f>
        <v>132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0.66375545851528384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987</v>
      </c>
      <c r="G23" s="1197">
        <f>SUBTOTAL(9,G16:G22)</f>
        <v>928</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1079</v>
      </c>
      <c r="Z23" s="1240">
        <f t="shared" si="6"/>
        <v>11</v>
      </c>
      <c r="AA23" s="1240">
        <f t="shared" si="6"/>
        <v>1049</v>
      </c>
      <c r="AB23" s="1240">
        <f t="shared" si="6"/>
        <v>0</v>
      </c>
      <c r="AC23" s="1240">
        <f t="shared" si="6"/>
        <v>0</v>
      </c>
      <c r="AD23" s="1240">
        <f t="shared" si="6"/>
        <v>0</v>
      </c>
      <c r="AE23" s="1240">
        <f t="shared" si="6"/>
        <v>115</v>
      </c>
      <c r="AF23" s="1240">
        <f t="shared" si="6"/>
        <v>0</v>
      </c>
      <c r="AG23" s="1240">
        <f t="shared" si="6"/>
        <v>0</v>
      </c>
      <c r="AH23" s="1240">
        <f t="shared" si="6"/>
        <v>0</v>
      </c>
      <c r="AI23" s="1240">
        <f t="shared" si="6"/>
        <v>0</v>
      </c>
      <c r="AJ23" s="1240">
        <f t="shared" si="6"/>
        <v>145</v>
      </c>
      <c r="AK23" s="1240">
        <f t="shared" si="6"/>
        <v>634</v>
      </c>
      <c r="AL23" s="1240">
        <f t="shared" si="6"/>
        <v>0</v>
      </c>
      <c r="AM23" s="1240">
        <f t="shared" si="6"/>
        <v>0</v>
      </c>
      <c r="AN23" s="1240">
        <f t="shared" si="6"/>
        <v>0</v>
      </c>
      <c r="AO23" s="1242">
        <f>IF(ISNUMBER(((NºAsuntos!I23/NºAsuntos!G23)*11)/factor_trimestre),((NºAsuntos!I23/NºAsuntos!G23)*11)/factor_trimestre," - ")</f>
        <v>1.9443929564411493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1052</v>
      </c>
      <c r="G31" s="1117">
        <f t="shared" si="12"/>
        <v>993</v>
      </c>
      <c r="H31" s="1118">
        <f t="shared" si="12"/>
        <v>0</v>
      </c>
      <c r="I31" s="1117">
        <f t="shared" si="12"/>
        <v>0</v>
      </c>
      <c r="J31" s="1119">
        <f t="shared" si="12"/>
        <v>0</v>
      </c>
      <c r="K31" s="1117">
        <f t="shared" si="12"/>
        <v>0</v>
      </c>
      <c r="L31" s="1120">
        <f t="shared" si="12"/>
        <v>0</v>
      </c>
      <c r="M31" s="1117">
        <f t="shared" si="12"/>
        <v>0</v>
      </c>
      <c r="N31" s="1118">
        <f t="shared" si="12"/>
        <v>171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1086</v>
      </c>
      <c r="Z31" s="1124">
        <f t="shared" si="13"/>
        <v>119</v>
      </c>
      <c r="AA31" s="1125">
        <f t="shared" si="13"/>
        <v>1116</v>
      </c>
      <c r="AB31" s="1125">
        <f t="shared" si="13"/>
        <v>0</v>
      </c>
      <c r="AC31" s="1125">
        <f t="shared" si="13"/>
        <v>0</v>
      </c>
      <c r="AD31" s="1126">
        <f t="shared" si="13"/>
        <v>0</v>
      </c>
      <c r="AE31" s="1126">
        <f t="shared" si="13"/>
        <v>5993</v>
      </c>
      <c r="AF31" s="1127">
        <f t="shared" si="13"/>
        <v>0</v>
      </c>
      <c r="AG31" s="1128">
        <f t="shared" si="13"/>
        <v>0</v>
      </c>
      <c r="AH31" s="1129">
        <f t="shared" si="13"/>
        <v>0</v>
      </c>
      <c r="AI31" s="1127">
        <f t="shared" si="13"/>
        <v>0</v>
      </c>
      <c r="AJ31" s="1117">
        <f t="shared" si="13"/>
        <v>317</v>
      </c>
      <c r="AK31" s="1117">
        <f t="shared" si="13"/>
        <v>1004</v>
      </c>
      <c r="AL31" s="1117">
        <f t="shared" si="13"/>
        <v>0</v>
      </c>
      <c r="AM31" s="1130">
        <f t="shared" si="13"/>
        <v>0</v>
      </c>
      <c r="AN31" s="1120">
        <f>IF(ISNUMBER(Datos!K31/Datos!J31),Datos!K31/Datos!J31," - ")</f>
        <v>1.1423487544483986</v>
      </c>
      <c r="AO31" s="1120">
        <f>IF(ISNUMBER(FIND("06",Criterios!A8,1)),(IF(ISNUMBER(((Datos!R31/Datos!Q31)*11)/factor_trimestre),((Datos!R31/Datos!Q31)*11)/factor_trimestre," - ")),(IF(ISNUMBER(((Datos!L31/Datos!K31)*11)/factor_trimestre),((Datos!L31/Datos!K31)*11)/factor_trimestre," - ")))</f>
        <v>4.4579439252336446</v>
      </c>
      <c r="AP31" s="1131" t="str">
        <f>IF(ISNUMBER(Datos!CI31/Datos!CJ31),Datos!CI31/Datos!CJ31," - ")</f>
        <v xml:space="preserve"> - </v>
      </c>
      <c r="AQ31" s="1131">
        <f>IF(OR(ISNUMBER(FIND("01",Criterios!A8,1)),ISNUMBER(FIND("02",Criterios!A8,1)),ISNUMBER(FIND("03",Criterios!A8,1)),ISNUMBER(FIND("04",Criterios!A8,1))),(J31-Y31+K31)/(F31-K31),(I31-Y31+K31)/(F31-K31))</f>
        <v>-1.0323193916349811</v>
      </c>
      <c r="AR31" s="1131">
        <f>IF(ISNUMBER((Datos!P31-Datos!Q31+O31)/(Datos!R31-Datos!P31+Datos!Q31-O31)),(Datos!P31-Datos!Q31+O31)/(Datos!R31-Datos!P31+Datos!Q31-O31)," - ")</f>
        <v>8.7527352297592995E-3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493.75810541870266</v>
      </c>
      <c r="G33" s="674">
        <f>IF(ISNUMBER(STDEV(G8:G30)),STDEV(G8:G30),"-")</f>
        <v>414.66481013211717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78.777716211048997</v>
      </c>
      <c r="AK33" s="276"/>
      <c r="AL33" s="276">
        <f>IF(ISNUMBER(STDEV(AL8:AL30)),STDEV(AL8:AL30),"-")</f>
        <v>0</v>
      </c>
      <c r="AM33" s="278">
        <f>IF(ISNUMBER(STDEV(AM8:AM30)),STDEV(AM8:AM30),"-")</f>
        <v>0</v>
      </c>
      <c r="AN33" s="660">
        <f>IF(ISNUMBER(STDEV(AN8:AN30)),STDEV(AN8:AN30),"-")</f>
        <v>0</v>
      </c>
      <c r="AO33" s="661">
        <f>IF(ISNUMBER(STDEV(AO8:AO30)),STDEV(AO8:AO30),"-")</f>
        <v>6.8379121739508806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Oy4a8+Y3vNwuJaO+AfltelBp2PIRo3kTJ214Uj7N+8mMoc4JwHvskAdpzbuzkHDoJo+FPkYO34XZdNLRQth5A==" saltValue="H/iHMIxjDCHrVgHpJEXt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0/vxPQ826+96Vo3vakAk+vhtlG63+82L5jPuX/Uj65ViqxUc7rPoavJNIn6wvRud6YbzM1/dVV+mC/Q7J69Uw==" saltValue="rofNq/GZLahhkG3Dyk4J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IYv5TAUEPFZ3UO7AdHtlyeMn9TqXdX4X7/XUlGy/jrxHm0BG7/xSSdHGNt7DXDRa6D5wyZBeqxfDepx3Fg8oA==" saltValue="h4lTyuTfkdXJl2JuNkCa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0.18963616317530319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0.13409301693945552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8v7+UqX5vIWwlhP89UIvZNkSOU6RJeHDLejzXJF00aWgHijfs87/LtrTHwtUuFDancA7nVnX2F9jh8yfRrruw==" saltValue="FmQalE6u72QDVkq4Cwti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HeJKThVZm4IIfp2IZbflnsrj6/pEfVKNepjbky5ho6jKrcDJs2dF8TdFZLlzXJ/8tLX5Fp47OLdtxQimj/uVA==" saltValue="5mMiZhT+3Bhv6Hb2Ytak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VERA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65</v>
      </c>
      <c r="D10" s="452">
        <f>IF(ISNUMBER(C10/Datos!BH10),C10/Datos!BH10," - ")</f>
        <v>65</v>
      </c>
      <c r="E10" s="451">
        <f>IF(ISNUMBER(Datos!J10),Datos!J10," - ")</f>
        <v>9</v>
      </c>
      <c r="F10" s="452">
        <f>IF(ISNUMBER(E10/B10),E10/B10," - ")</f>
        <v>9</v>
      </c>
      <c r="G10" s="451">
        <f>IF(ISNUMBER(Datos!K10),Datos!K10," - ")</f>
        <v>7</v>
      </c>
      <c r="H10" s="452">
        <f>IF(ISNUMBER(G10/B10),G10/B10," - ")</f>
        <v>7</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3207</v>
      </c>
      <c r="D12" s="452">
        <f>IF(ISNUMBER(C12/Datos!BH12),C12/Datos!BH12," - ")</f>
        <v>801.75</v>
      </c>
      <c r="E12" s="451">
        <f>IF(ISNUMBER(IF(J_V="SI",Datos!J12,Datos!J12+Datos!Z12)),IF(J_V="SI",Datos!J12,Datos!J12+Datos!Z12)," - ")</f>
        <v>667</v>
      </c>
      <c r="F12" s="452">
        <f>IF(ISNUMBER(E12/B12),E12/B12," - ")</f>
        <v>166.75</v>
      </c>
      <c r="G12" s="451">
        <f>IF(ISNUMBER(IF(J_V="SI",Datos!K12,Datos!K12+Datos!AA12)),IF(J_V="SI",Datos!K12,Datos!K12+Datos!AA12)," - ")</f>
        <v>900</v>
      </c>
      <c r="H12" s="452">
        <f>IF(ISNUMBER(G12/B12),G12/B12," - ")</f>
        <v>225</v>
      </c>
      <c r="I12" s="451">
        <f>IF(ISNUMBER(IF(J_V="SI",Datos!L12,Datos!L12+Datos!AB12)),IF(J_V="SI",Datos!L12,Datos!L12+Datos!AB12)," - ")</f>
        <v>3282</v>
      </c>
      <c r="J12" s="452">
        <f>IF(ISNUMBER(I12/B12),I12/B12," - ")</f>
        <v>820.5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3272</v>
      </c>
      <c r="D14" s="1147" t="str">
        <f>IF(ISNUMBER(C14/Datos!BI14),C14/Datos!BI14," - ")</f>
        <v xml:space="preserve"> - </v>
      </c>
      <c r="E14" s="1146">
        <f>SUBTOTAL(9,E8:E13)</f>
        <v>676</v>
      </c>
      <c r="F14" s="1147">
        <f>IF(ISNUMBER(E14/B14),E14/B14," - ")</f>
        <v>169</v>
      </c>
      <c r="G14" s="1146">
        <f>SUBTOTAL(9,G8:G13)</f>
        <v>907</v>
      </c>
      <c r="H14" s="1147">
        <f>IF(ISNUMBER(G14/B14),G14/B14," - ")</f>
        <v>226.75</v>
      </c>
      <c r="I14" s="1146">
        <f>SUBTOTAL(9,I8:I13)</f>
        <v>3349</v>
      </c>
      <c r="J14" s="1147">
        <f>IF(ISNUMBER(I14/B14),I14/B14," - ")</f>
        <v>837.25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848</v>
      </c>
      <c r="D17" s="452">
        <f>IF(ISNUMBER(C17/Datos!BH17),C17/Datos!BH17," - ")</f>
        <v>212</v>
      </c>
      <c r="E17" s="451">
        <f>IF(ISNUMBER(IF(D_I="SI",Datos!J17,Datos!J17+Datos!AD17)),IF(D_I="SI",Datos!J17,Datos!J17+Datos!AD17)," - ")</f>
        <v>836</v>
      </c>
      <c r="F17" s="452">
        <f>IF(ISNUMBER(E17/B17),E17/B17," - ")</f>
        <v>209</v>
      </c>
      <c r="G17" s="451">
        <f>IF(ISNUMBER(IF(D_I="SI",Datos!K17,Datos!K17+Datos!AE17)),IF(D_I="SI",Datos!K17,Datos!K17+Datos!AE17)," - ")</f>
        <v>850</v>
      </c>
      <c r="H17" s="452">
        <f>IF(ISNUMBER(G17/B17),G17/B17," - ")</f>
        <v>212.5</v>
      </c>
      <c r="I17" s="451">
        <f>IF(ISNUMBER(IF(D_I="SI",Datos!L17,Datos!L17+Datos!AF17)),IF(D_I="SI",Datos!L17,Datos!L17+Datos!AF17)," - ")</f>
        <v>973</v>
      </c>
      <c r="J17" s="452">
        <f>IF(ISNUMBER(I17/B17),I17/B17," - ")</f>
        <v>243.25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80</v>
      </c>
      <c r="D18" s="452">
        <f>IF(ISNUMBER(C18/Datos!BH18),C18/Datos!BH18," - ")</f>
        <v>80</v>
      </c>
      <c r="E18" s="451">
        <f>IF(ISNUMBER(IF(D_I="SI",Datos!J18,Datos!J18+Datos!AD18)),IF(D_I="SI",Datos!J18,Datos!J18+Datos!AD18)," - ")</f>
        <v>220</v>
      </c>
      <c r="F18" s="452">
        <f>IF(ISNUMBER(E18/B18),E18/B18," - ")</f>
        <v>220</v>
      </c>
      <c r="G18" s="451">
        <f>IF(ISNUMBER(IF(D_I="SI",Datos!K18,Datos!K18+Datos!AE18)),IF(D_I="SI",Datos!K18,Datos!K18+Datos!AE18)," - ")</f>
        <v>229</v>
      </c>
      <c r="H18" s="452">
        <f>IF(ISNUMBER(G18/B18),G18/B18," - ")</f>
        <v>229</v>
      </c>
      <c r="I18" s="451">
        <f>IF(ISNUMBER(IF(D_I="SI",Datos!L18,Datos!L18+Datos!AF18)),IF(D_I="SI",Datos!L18,Datos!L18+Datos!AF18)," - ")</f>
        <v>76</v>
      </c>
      <c r="J18" s="452">
        <f>IF(ISNUMBER(I18/B18),I18/B18," - ")</f>
        <v>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928</v>
      </c>
      <c r="D23" s="1147" t="str">
        <f>IF(ISNUMBER(C23/Datos!BI23),C23/Datos!BI23," - ")</f>
        <v xml:space="preserve"> - </v>
      </c>
      <c r="E23" s="1146">
        <f>SUBTOTAL(9,E15:E22)</f>
        <v>1056</v>
      </c>
      <c r="F23" s="1147">
        <f>IF(ISNUMBER(E23/B23),E23/B23," - ")</f>
        <v>264</v>
      </c>
      <c r="G23" s="1146">
        <f>SUBTOTAL(9,G15:G22)</f>
        <v>1079</v>
      </c>
      <c r="H23" s="1147">
        <f>IF(ISNUMBER(G23/B23),G23/B23," - ")</f>
        <v>269.75</v>
      </c>
      <c r="I23" s="1146">
        <f>SUBTOTAL(9,I15:I22)</f>
        <v>1049</v>
      </c>
      <c r="J23" s="1147">
        <f>IF(ISNUMBER(I23/B23),I23/B23," - ")</f>
        <v>262.25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4200</v>
      </c>
      <c r="D31" s="1085" t="str">
        <f>IF(ISNUMBER(C31/Datos!BI31),C31/Datos!BI31," - ")</f>
        <v xml:space="preserve"> - </v>
      </c>
      <c r="E31" s="1084">
        <f>SUBTOTAL(9,E9:E30)</f>
        <v>1732</v>
      </c>
      <c r="F31" s="1085">
        <f>IF(ISNUMBER(E31/B31),E31/B31," - ")</f>
        <v>433</v>
      </c>
      <c r="G31" s="1084">
        <f>SUBTOTAL(9,G9:G30)</f>
        <v>1986</v>
      </c>
      <c r="H31" s="1085">
        <f>IF(ISNUMBER(G31/B31),G31/B31," - ")</f>
        <v>496.5</v>
      </c>
      <c r="I31" s="1084">
        <f>SUBTOTAL(9,I9:I30)</f>
        <v>4398</v>
      </c>
      <c r="J31" s="1085">
        <f>IF(ISNUMBER(I31/B31),I31/B31," - ")</f>
        <v>1099.5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OWE1SqlAc2yUyqbbpXt7f4KER37ulOhnIpONn1HaY+Kmo4XWjM4Sn+whkzpAG1zkR1pexgG+MvcqpYn3ct9Jw==" saltValue="gc5b9aMqQ+bajf+7nB/B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65</v>
      </c>
      <c r="G10" s="906">
        <f>IF(ISNUMBER(Datos!I10),Datos!I10," - ")</f>
        <v>65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19.142857142857142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168</v>
      </c>
      <c r="AM12" s="914">
        <f>IF(ISNUMBER(Datos!N12+DatosP!N17),Datos!N12+DatosP!N17," - ")</f>
        <v>370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7.293333333333333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8.9331729943308708E-3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65</v>
      </c>
      <c r="G14" s="1256">
        <f t="shared" si="0"/>
        <v>65</v>
      </c>
      <c r="H14" s="1256">
        <f t="shared" si="0"/>
        <v>0</v>
      </c>
      <c r="I14" s="1258">
        <f t="shared" si="0"/>
        <v>0</v>
      </c>
      <c r="J14" s="1257">
        <f t="shared" si="0"/>
        <v>0</v>
      </c>
      <c r="K14" s="1257">
        <f t="shared" si="0"/>
        <v>0</v>
      </c>
      <c r="L14" s="1259">
        <f t="shared" si="0"/>
        <v>0</v>
      </c>
      <c r="M14" s="1259">
        <f t="shared" si="0"/>
        <v>0</v>
      </c>
      <c r="N14" s="1257">
        <f t="shared" si="0"/>
        <v>160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108</v>
      </c>
      <c r="AE14" s="1257">
        <f t="shared" si="1"/>
        <v>0</v>
      </c>
      <c r="AF14" s="1257">
        <f t="shared" si="1"/>
        <v>67</v>
      </c>
      <c r="AG14" s="1257">
        <f t="shared" si="1"/>
        <v>0</v>
      </c>
      <c r="AH14" s="1257">
        <f t="shared" si="1"/>
        <v>5873</v>
      </c>
      <c r="AI14" s="1257">
        <f t="shared" si="1"/>
        <v>0</v>
      </c>
      <c r="AJ14" s="1257">
        <f t="shared" si="1"/>
        <v>0</v>
      </c>
      <c r="AK14" s="1257">
        <f t="shared" si="1"/>
        <v>0</v>
      </c>
      <c r="AL14" s="1257">
        <f t="shared" si="1"/>
        <v>172</v>
      </c>
      <c r="AM14" s="1257">
        <f t="shared" si="1"/>
        <v>370</v>
      </c>
      <c r="AN14" s="1257">
        <f t="shared" si="1"/>
        <v>0</v>
      </c>
      <c r="AO14" s="1257">
        <f t="shared" si="1"/>
        <v>0</v>
      </c>
      <c r="AP14" s="1262">
        <f>IF(ISNUMBER(((Datos!L14/Datos!K14)*11)/factor_trimestre),((Datos!L14/Datos!K14)*11)/factor_trimestre," - ")</f>
        <v>7.6599763872491158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-0.1076923076923077</v>
      </c>
      <c r="AU14" s="1257" t="str">
        <f>IF(ISNUMBER((DatosP!#REF!-DatosP!#REF!+DatosP!#REF!)/(DatosP!#REF!+DatosP!#REF!-DatosP!#REF!-DatosP!#REF!)),(DatosP!#REF!-DatosP!#REF!+DatosP!#REF!)/(DatosP!#REF!+DatosP!#REF!-DatosP!#REF!-DatosP!#REF!)," - ")</f>
        <v xml:space="preserve"> - </v>
      </c>
      <c r="AV14" s="1263">
        <f>SUBTOTAL(9,AV9:AV13)</f>
        <v>8.9331729943308708E-3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1.9443929564411493</v>
      </c>
      <c r="AQ23" s="1262">
        <f>IF(ISNUMBER(((Datos!M23/Datos!L23)*11)/factor_trimestre),((Datos!M23/Datos!L23)*11)/factor_trimestre," - ")</f>
        <v>0.27645376549094375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-0.10494450050454086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65</v>
      </c>
      <c r="G31" s="1278">
        <f t="shared" si="8"/>
        <v>65</v>
      </c>
      <c r="H31" s="1278">
        <f t="shared" si="8"/>
        <v>0</v>
      </c>
      <c r="I31" s="1279">
        <f t="shared" si="8"/>
        <v>0</v>
      </c>
      <c r="J31" s="1280">
        <f t="shared" si="8"/>
        <v>0</v>
      </c>
      <c r="K31" s="1280">
        <f t="shared" si="8"/>
        <v>0</v>
      </c>
      <c r="L31" s="1280">
        <f t="shared" si="8"/>
        <v>0</v>
      </c>
      <c r="M31" s="1280">
        <f t="shared" si="8"/>
        <v>0</v>
      </c>
      <c r="N31" s="1279">
        <f t="shared" si="8"/>
        <v>160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108</v>
      </c>
      <c r="AE31" s="1284">
        <f t="shared" si="9"/>
        <v>0</v>
      </c>
      <c r="AF31" s="1285">
        <f t="shared" si="9"/>
        <v>67</v>
      </c>
      <c r="AG31" s="1285">
        <f t="shared" si="9"/>
        <v>0</v>
      </c>
      <c r="AH31" s="1285">
        <f t="shared" si="9"/>
        <v>5873</v>
      </c>
      <c r="AI31" s="1285">
        <f t="shared" si="9"/>
        <v>0</v>
      </c>
      <c r="AJ31" s="1286">
        <f t="shared" si="9"/>
        <v>0</v>
      </c>
      <c r="AK31" s="1286">
        <f t="shared" si="9"/>
        <v>0</v>
      </c>
      <c r="AL31" s="1278">
        <f t="shared" si="9"/>
        <v>172</v>
      </c>
      <c r="AM31" s="1278">
        <f t="shared" si="9"/>
        <v>370</v>
      </c>
      <c r="AN31" s="1278">
        <f t="shared" si="9"/>
        <v>0</v>
      </c>
      <c r="AO31" s="1278">
        <f t="shared" si="9"/>
        <v>0</v>
      </c>
      <c r="AP31" s="1278">
        <f>IF(ISNUMBER(((Datos!L31/Datos!K31)*11)/factor_trimestre),((Datos!L31/Datos!K31)*11)/factor_trimestre," - ")</f>
        <v>4.4579439252336446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-0.1076923076923077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8.7527352297592995E-3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35.601966237835796</v>
      </c>
      <c r="G33" s="1007">
        <f>IF(ISNUMBER(STDEV(G8:G30)),STDEV(G8:G30),"-")</f>
        <v>35.601966237835796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87.29413878758794</v>
      </c>
      <c r="AM33" s="1006"/>
      <c r="AN33" s="1006">
        <f>IF(ISNUMBER(STDEV(AN8:AN30)),STDEV(AN8:AN30),"-")</f>
        <v>0</v>
      </c>
      <c r="AO33" s="1012">
        <f>IF(ISNUMBER(STDEV(AO8:AO30)),STDEV(AO8:AO30),"-")</f>
        <v>0</v>
      </c>
      <c r="AP33" s="1065">
        <f>IF(ISNUMBER(STDEV(AP8:AP30)),STDEV(AP8:AP30),"-")</f>
        <v>7.2426308501036489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zqVa1+uF1b8uvyWE0ukKmtcdAvweRwm9ZQQvtAeBDiZ9+CWCG2T/eX+Er0vnINthiql1rRJ2EDFJ4UB4VwEuw==" saltValue="CIbtqsBWD4oAksDlfPNN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v+jvnJ93JXQNXxAupx4j/zLsgUIky0catVAayv55p4Tj5kTA9f6Pcgp2THANRiF+g4K7zg/5iQYOY1NXEVj7A==" saltValue="0R2nuAd7HYuaddF44hvW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VERA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168</v>
      </c>
      <c r="E12" s="452">
        <f t="shared" si="0"/>
        <v>42</v>
      </c>
      <c r="F12" s="451">
        <f>IF(ISNUMBER(Datos!N12),Datos!N12," - ")</f>
        <v>370</v>
      </c>
      <c r="G12" s="452">
        <f t="shared" si="1"/>
        <v>92.5</v>
      </c>
      <c r="H12" s="451">
        <f>IF(ISNUMBER(Datos!O12),Datos!O12," - ")</f>
        <v>421</v>
      </c>
      <c r="I12" s="452">
        <f t="shared" si="2"/>
        <v>105.25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172</v>
      </c>
      <c r="E14" s="1147">
        <f t="shared" si="0"/>
        <v>34.4</v>
      </c>
      <c r="F14" s="1146">
        <f>SUBTOTAL(9,F9:F13)</f>
        <v>370</v>
      </c>
      <c r="G14" s="1147">
        <f t="shared" si="1"/>
        <v>74</v>
      </c>
      <c r="H14" s="1146">
        <f>SUBTOTAL(9,H9:H13)</f>
        <v>421</v>
      </c>
      <c r="I14" s="1147">
        <f>IF(ISNUMBER(H14/B14),H14/B14," - ")</f>
        <v>84.2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119</v>
      </c>
      <c r="E17" s="452">
        <f t="shared" si="3"/>
        <v>29.75</v>
      </c>
      <c r="F17" s="451">
        <f>IF(ISNUMBER(Datos!N17),Datos!N17," - ")</f>
        <v>502</v>
      </c>
      <c r="G17" s="452">
        <f t="shared" si="4"/>
        <v>125.5</v>
      </c>
      <c r="H17" s="451">
        <f>IF(ISNUMBER(Datos!O17),Datos!O17," - ")</f>
        <v>0</v>
      </c>
      <c r="I17" s="452">
        <f t="shared" si="5"/>
        <v>0</v>
      </c>
    </row>
    <row r="18" spans="1:9">
      <c r="A18" s="450" t="str">
        <f>Datos!A18</f>
        <v>Jdos. Violencia contra la mujer</v>
      </c>
      <c r="B18" s="480">
        <f>Datos!AO18</f>
        <v>1</v>
      </c>
      <c r="C18" s="481">
        <f>Datos!AQ18</f>
        <v>0</v>
      </c>
      <c r="D18" s="451">
        <f>IF(ISNUMBER(Datos!M18),Datos!M18," - ")</f>
        <v>26</v>
      </c>
      <c r="E18" s="452">
        <f>IF(ISNUMBER(D18/B18),D18/B18," - ")</f>
        <v>26</v>
      </c>
      <c r="F18" s="451">
        <f>IF(ISNUMBER(Datos!N18),Datos!N18," - ")</f>
        <v>132</v>
      </c>
      <c r="G18" s="452">
        <f>IF(ISNUMBER(F18/B18),F18/B18," - ")</f>
        <v>132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145</v>
      </c>
      <c r="E23" s="1147">
        <f t="shared" si="3"/>
        <v>29</v>
      </c>
      <c r="F23" s="1146">
        <f>SUBTOTAL(9,F16:F22)</f>
        <v>634</v>
      </c>
      <c r="G23" s="1147">
        <f t="shared" si="4"/>
        <v>126.8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317</v>
      </c>
      <c r="E31" s="1085">
        <f>IF(ISNUMBER(D31/B31),D31/B31," - ")</f>
        <v>79.25</v>
      </c>
      <c r="F31" s="1084">
        <f>SUBTOTAL(9,F8:F30)</f>
        <v>1004</v>
      </c>
      <c r="G31" s="1085">
        <f>IF(ISNUMBER(F31/B31),F31/B31," - ")</f>
        <v>251</v>
      </c>
      <c r="H31" s="1084">
        <f>SUBTOTAL(9,H8:H30)</f>
        <v>421</v>
      </c>
      <c r="I31" s="1085">
        <f>IF(ISNUMBER(H31/B31),H31/B31," - ")</f>
        <v>105.25</v>
      </c>
    </row>
    <row r="34" spans="1:1">
      <c r="A34" s="439" t="str">
        <f>Criterios!A4</f>
        <v>Fecha Informe: 06 may. 2023</v>
      </c>
    </row>
    <row r="39" spans="1:1">
      <c r="A39" s="462"/>
    </row>
  </sheetData>
  <sheetProtection algorithmName="SHA-512" hashValue="xiBhRNOl5YpR4Ix5Vf/Ahp2+GRWt0hh58bgkS1rB/agqIL5Ce8asv05Ro4yaf4f6TgKvGT7+bzfnSWLrFLFFlA==" saltValue="aQFAAIUsn6tB4CTi0F7i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VERA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160</v>
      </c>
      <c r="C12" s="489">
        <f>IF(ISNUMBER(Datos!Q12),Datos!Q12," - ")</f>
        <v>108</v>
      </c>
      <c r="D12" s="456">
        <f>IF(ISNUMBER(Datos!R12),Datos!R12," - ")</f>
        <v>5873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160</v>
      </c>
      <c r="C14" s="1150">
        <f>SUBTOTAL(9,C9:C13)</f>
        <v>108</v>
      </c>
      <c r="D14" s="1148">
        <f>SUBTOTAL(9,D9:D13)</f>
        <v>5878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9</v>
      </c>
      <c r="D17" s="456">
        <f>IF(ISNUMBER(Datos!R17),Datos!R17," - ")</f>
        <v>114</v>
      </c>
    </row>
    <row r="18" spans="1:4">
      <c r="A18" s="450" t="str">
        <f>Datos!A18</f>
        <v>Jdos. Violencia contra la mujer</v>
      </c>
      <c r="B18" s="488">
        <f>IF(ISNUMBER(Datos!P18),Datos!P18," - ")</f>
        <v>2</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11</v>
      </c>
      <c r="D23" s="1148">
        <f>SUBTOTAL(9,D16:D22)</f>
        <v>115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171</v>
      </c>
      <c r="C31" s="1089">
        <f>SUBTOTAL(9,C8:C30)</f>
        <v>119</v>
      </c>
      <c r="D31" s="1090">
        <f>SUBTOTAL(9,D8:D30)</f>
        <v>5993</v>
      </c>
    </row>
    <row r="32" spans="1:4" ht="7.5" customHeight="1"/>
    <row r="33" spans="1:1" ht="6" customHeight="1"/>
    <row r="34" spans="1:1">
      <c r="A34" s="439" t="str">
        <f>Criterios!A4</f>
        <v>Fecha Informe: 06 may. 2023</v>
      </c>
    </row>
    <row r="39" spans="1:1">
      <c r="A39" s="462"/>
    </row>
  </sheetData>
  <sheetProtection algorithmName="SHA-512" hashValue="x0Rqjoavuj/9B6z9nlRsbY0AkDZJECvZolacjm97oBeQnVirNDLzfQru3Ngt86Hv7THnBxGRWg3nuC8X85Uc0A==" saltValue="gg6+4W6iIFpjS7zISLRV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VERA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-0.15584415584415584</v>
      </c>
      <c r="C10" s="515">
        <f>IF(ISNUMBER((Datos!J10-Datos!T10)/Datos!T10),(Datos!J10-Datos!T10)/Datos!T10," - ")</f>
        <v>0.5</v>
      </c>
      <c r="D10" s="515">
        <f>IF(ISNUMBER((Datos!K10-Datos!U10)/Datos!U10),(Datos!K10-Datos!U10)/Datos!U10," - ")</f>
        <v>2.5</v>
      </c>
      <c r="E10" s="515">
        <f>IF(ISNUMBER((Datos!L10-Datos!V10)/Datos!V10),(Datos!L10-Datos!V10)/Datos!V10," - ")</f>
        <v>-0.1728395061728395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1.3333333333333335</v>
      </c>
      <c r="I10" s="515">
        <f>IF(ISNUMBER(((NºAsuntos!I10/NºAsuntos!G10)-Datos!BE10)/Datos!BE10),((NºAsuntos!I10/NºAsuntos!G10)-Datos!BE10)/Datos!BE10," - ")</f>
        <v>-0.76366843033509701</v>
      </c>
      <c r="J10" s="521">
        <f>IF(ISNUMBER((('Resol  Asuntos'!D10/NºAsuntos!G10)-Datos!BF10)/Datos!BF10),(('Resol  Asuntos'!D10/NºAsuntos!G10)-Datos!BF10)/Datos!BF10," - ")</f>
        <v>-0.4285714285714286</v>
      </c>
      <c r="K10" s="522">
        <f>IF(ISNUMBER((((NºAsuntos!C10+NºAsuntos!E10)/NºAsuntos!G10)-Datos!BG10)/Datos!BG10),(((NºAsuntos!C10+NºAsuntos!E10)/NºAsuntos!G10)-Datos!BG10)/Datos!BG10," - ")</f>
        <v>-0.74526678141135982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-0.10817575083426029</v>
      </c>
      <c r="C12" s="515">
        <f>IF(ISNUMBER(
   IF(J_V="SI",(Datos!J12-Datos!T12)/Datos!T12,(Datos!J12+Datos!Z12-(Datos!T12+Datos!AH12))/(Datos!T12+Datos!AH12))
     ),IF(J_V="SI",(Datos!J12-Datos!T12)/Datos!T12,(Datos!J12+Datos!Z12-(Datos!T12+Datos!AH12))/(Datos!T12+Datos!AH12))," - ")</f>
        <v>0.35294117647058826</v>
      </c>
      <c r="D12" s="515">
        <f>IF(ISNUMBER(
   IF(J_V="SI",(Datos!K12-Datos!U12)/Datos!U12,(Datos!K12+Datos!AA12-(Datos!U12+Datos!AI12))/(Datos!U12+Datos!AI12))
     ),IF(J_V="SI",(Datos!K12-Datos!U12)/Datos!U12,(Datos!K12+Datos!AA12-(Datos!U12+Datos!AI12))/(Datos!U12+Datos!AI12))," - ")</f>
        <v>0.16883116883116883</v>
      </c>
      <c r="E12" s="515">
        <f>IF(ISNUMBER(
   IF(J_V="SI",(Datos!L12-Datos!V12)/Datos!V12,(Datos!L12+Datos!AB12-(Datos!V12+Datos!AJ12))/(Datos!V12+Datos!AJ12))
     ),IF(J_V="SI",(Datos!L12-Datos!V12)/Datos!V12,(Datos!L12+Datos!AB12-(Datos!V12+Datos!AJ12))/(Datos!V12+Datos!AJ12))," - ")</f>
        <v>-4.0070195963732083E-2</v>
      </c>
      <c r="F12" s="515">
        <f>IF(ISNUMBER((Datos!M12-Datos!W12)/Datos!W12),(Datos!M12-Datos!W12)/Datos!W12," - ")</f>
        <v>0.33333333333333331</v>
      </c>
      <c r="G12" s="516">
        <f>IF(ISNUMBER((Datos!N12-Datos!X12)/Datos!X12),(Datos!N12-Datos!X12)/Datos!X12," - ")</f>
        <v>0.69724770642201839</v>
      </c>
      <c r="H12" s="514">
        <f>IF(ISNUMBER(((NºAsuntos!G12/NºAsuntos!E12)-Datos!BD12)/Datos!BD12),((NºAsuntos!G12/NºAsuntos!E12)-Datos!BD12)/Datos!BD12," - ")</f>
        <v>-0.13608130999435344</v>
      </c>
      <c r="I12" s="515">
        <f>IF(ISNUMBER(((NºAsuntos!I12/NºAsuntos!G12)-Datos!BE12)/Datos!BE12),((NºAsuntos!I12/NºAsuntos!G12)-Datos!BE12)/Datos!BE12," - ")</f>
        <v>-0.17872672321341521</v>
      </c>
      <c r="J12" s="521">
        <f>IF(ISNUMBER((('Resol  Asuntos'!D12/NºAsuntos!G12)-Datos!BF12)/Datos!BF12),(('Resol  Asuntos'!D12/NºAsuntos!G12)-Datos!BF12)/Datos!BF12," - ")</f>
        <v>-0.34067278287461766</v>
      </c>
      <c r="K12" s="522">
        <f>IF(ISNUMBER((((NºAsuntos!C12+NºAsuntos!E12)/NºAsuntos!G12)-Datos!BG12)/Datos!BG12),(((NºAsuntos!C12+NºAsuntos!E12)/NºAsuntos!G12)-Datos!BG12)/Datos!BG12," - ")</f>
        <v>-0.18942963506426466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-0.10917506125782739</v>
      </c>
      <c r="C14" s="1152">
        <f>IF(ISNUMBER(
   IF(J_V="SI",(Datos!J14-Datos!T14)/Datos!T14,(Datos!J14+Datos!Z14-(Datos!T14+Datos!AH14))/(Datos!T14+Datos!AH14))
     ),IF(J_V="SI",(Datos!J14-Datos!T14)/Datos!T14,(Datos!J14+Datos!Z14-(Datos!T14+Datos!AH14))/(Datos!T14+Datos!AH14))," - ")</f>
        <v>0.35470941883767537</v>
      </c>
      <c r="D14" s="1152">
        <f>IF(ISNUMBER(
   IF(J_V="SI",(Datos!K14-Datos!U14)/Datos!U14,(Datos!K14+Datos!AA14-(Datos!U14+Datos!AI14))/(Datos!U14+Datos!AI14))
     ),IF(J_V="SI",(Datos!K14-Datos!U14)/Datos!U14,(Datos!K14+Datos!AA14-(Datos!U14+Datos!AI14))/(Datos!U14+Datos!AI14))," - ")</f>
        <v>0.17487046632124353</v>
      </c>
      <c r="E14" s="1152">
        <f>IF(ISNUMBER(
   IF(J_V="SI",(Datos!L14-Datos!V14)/Datos!V14,(Datos!L14+Datos!AB14-(Datos!V14+Datos!AJ14))/(Datos!V14+Datos!AJ14))
     ),IF(J_V="SI",(Datos!L14-Datos!V14)/Datos!V14,(Datos!L14+Datos!AB14-(Datos!V14+Datos!AJ14))/(Datos!V14+Datos!AJ14))," - ")</f>
        <v>-4.3142857142857143E-2</v>
      </c>
      <c r="F14" s="1153">
        <f>IF(ISNUMBER((Datos!M14-Datos!W14)/Datos!W14),(Datos!M14-Datos!W14)/Datos!W14," - ")</f>
        <v>0.34375</v>
      </c>
      <c r="G14" s="1154">
        <f>IF(ISNUMBER((Datos!N14-Datos!X14)/Datos!X14),(Datos!N14-Datos!X14)/Datos!X14," - ")</f>
        <v>0.69724770642201839</v>
      </c>
      <c r="H14" s="1154">
        <f>IF(ISNUMBER(((NºAsuntos!G14/NºAsuntos!E14)-Datos!BD14)/Datos!BD14),((NºAsuntos!G14/NºAsuntos!E14)-Datos!BD14)/Datos!BD14," - ")</f>
        <v>-0.13275094275991053</v>
      </c>
      <c r="I14" s="1154">
        <f>IF(ISNUMBER(((NºAsuntos!I14/NºAsuntos!G14)-Datos!BE14)/Datos!BE14),((NºAsuntos!I14/NºAsuntos!G14)-Datos!BE14)/Datos!BE14," - ")</f>
        <v>-0.18556371082060169</v>
      </c>
      <c r="J14" s="1154">
        <f>IF(ISNUMBER((('Resol  Asuntos'!D14/NºAsuntos!G14)-Datos!BF14)/Datos!BF14),(('Resol  Asuntos'!D14/NºAsuntos!G14)-Datos!BF14)/Datos!BF14," - ")</f>
        <v>-0.33454946376666339</v>
      </c>
      <c r="K14" s="1154">
        <f>IF(ISNUMBER((((NºAsuntos!C14+NºAsuntos!E14)/NºAsuntos!G14)-Datos!BG14)/Datos!BG14),(((NºAsuntos!C14+NºAsuntos!E14)/NºAsuntos!G14)-Datos!BG14)/Datos!BG14," - ")</f>
        <v>-0.1945420776510807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-3.5252643948296123E-3</v>
      </c>
      <c r="C17" s="515">
        <f>IF(ISNUMBER(
   IF(D_I="SI",(Datos!J17-Datos!T17)/Datos!T17,(Datos!J17+Datos!AD17-(Datos!T17+Datos!AL17))/(Datos!T17+Datos!AL17))
     ),IF(D_I="SI",(Datos!J17-Datos!T17)/Datos!T17,(Datos!J17+Datos!AD17-(Datos!T17+Datos!AL17))/(Datos!T17+Datos!AL17))," - ")</f>
        <v>0.30421216848673949</v>
      </c>
      <c r="D17" s="515">
        <f>IF(ISNUMBER(
   IF(D_I="SI",(Datos!K17-Datos!U17)/Datos!U17,(Datos!K17+Datos!AE17-(Datos!U17+Datos!AM17))/(Datos!U17+Datos!AM17))
     ),IF(D_I="SI",(Datos!K17-Datos!U17)/Datos!U17,(Datos!K17+Datos!AE17-(Datos!U17+Datos!AM17))/(Datos!U17+Datos!AM17))," - ")</f>
        <v>0.26112759643916916</v>
      </c>
      <c r="E17" s="515">
        <f>IF(ISNUMBER(
   IF(D_I="SI",(Datos!L17-Datos!V17)/Datos!V17,(Datos!L17+Datos!AF17-(Datos!V17+Datos!AN17))/(Datos!V17+Datos!AN17))
     ),IF(D_I="SI",(Datos!L17-Datos!V17)/Datos!V17,(Datos!L17+Datos!AF17-(Datos!V17+Datos!AN17))/(Datos!V17+Datos!AN17))," - ")</f>
        <v>0.22544080604534006</v>
      </c>
      <c r="F17" s="515">
        <f>IF(ISNUMBER((Datos!M17-Datos!W17)/Datos!W17),(Datos!M17-Datos!W17)/Datos!W17," - ")</f>
        <v>0.16666666666666666</v>
      </c>
      <c r="G17" s="516">
        <f>IF(ISNUMBER((Datos!N17-Datos!X17)/Datos!X17),(Datos!N17-Datos!X17)/Datos!X17," - ")</f>
        <v>0.30051813471502592</v>
      </c>
      <c r="H17" s="514">
        <f>IF(ISNUMBER(((NºAsuntos!G17/NºAsuntos!E17)-Datos!BD17)/Datos!BD17),((NºAsuntos!G17/NºAsuntos!E17)-Datos!BD17)/Datos!BD17," - ")</f>
        <v>-3.3034941007766189E-2</v>
      </c>
      <c r="I17" s="515">
        <f>IF(ISNUMBER(((NºAsuntos!I17/NºAsuntos!G17)-Datos!BE17)/Datos!BE17),((NºAsuntos!I17/NºAsuntos!G17)-Datos!BE17)/Datos!BE17," - ")</f>
        <v>-2.8297525559342014E-2</v>
      </c>
      <c r="J17" s="521">
        <f>IF(ISNUMBER((('Resol  Asuntos'!D17/NºAsuntos!G17)-Datos!BF17)/Datos!BF17),(('Resol  Asuntos'!D17/NºAsuntos!G17)-Datos!BF17)/Datos!BF17," - ")</f>
        <v>-7.4901960784313687E-2</v>
      </c>
      <c r="K17" s="522">
        <f>IF(ISNUMBER((((NºAsuntos!C17+NºAsuntos!E17)/NºAsuntos!G17)-Datos!BG17)/Datos!BG17),(((NºAsuntos!C17+NºAsuntos!E17)/NºAsuntos!G17)-Datos!BG17)/Datos!BG17," - ")</f>
        <v>-0.10501813594070328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1.2222222222222223</v>
      </c>
      <c r="C18" s="515">
        <f>IF(ISNUMBER(
   IF(D_I="SI",(Datos!J18-Datos!T18)/Datos!T18,(Datos!J18+Datos!AD18-(Datos!T18+Datos!AL18))/(Datos!T18+Datos!AL18))
     ),IF(D_I="SI",(Datos!J18-Datos!T18)/Datos!T18,(Datos!J18+Datos!AD18-(Datos!T18+Datos!AL18))/(Datos!T18+Datos!AL18))," - ")</f>
        <v>0.92982456140350878</v>
      </c>
      <c r="D18" s="515">
        <f>IF(ISNUMBER(
   IF(D_I="SI",(Datos!K18-Datos!U18)/Datos!U18,(Datos!K18+Datos!AE18-(Datos!U18+Datos!AM18))/(Datos!U18+Datos!AM18))
     ),IF(D_I="SI",(Datos!K18-Datos!U18)/Datos!U18,(Datos!K18+Datos!AE18-(Datos!U18+Datos!AM18))/(Datos!U18+Datos!AM18))," - ")</f>
        <v>1.3608247422680413</v>
      </c>
      <c r="E18" s="515">
        <f>IF(ISNUMBER(
   IF(D_I="SI",(Datos!L18-Datos!V18)/Datos!V18,(Datos!L18+Datos!AF18-(Datos!V18+Datos!AN18))/(Datos!V18+Datos!AN18))
     ),IF(D_I="SI",(Datos!L18-Datos!V18)/Datos!V18,(Datos!L18+Datos!AF18-(Datos!V18+Datos!AN18))/(Datos!V18+Datos!AN18))," - ")</f>
        <v>0.43396226415094341</v>
      </c>
      <c r="F18" s="515">
        <f>IF(ISNUMBER((Datos!M18-Datos!W18)/Datos!W18),(Datos!M18-Datos!W18)/Datos!W18," - ")</f>
        <v>0.52941176470588236</v>
      </c>
      <c r="G18" s="516">
        <f>IF(ISNUMBER((Datos!N18-Datos!X18)/Datos!X18),(Datos!N18-Datos!X18)/Datos!X18," - ")</f>
        <v>1.4905660377358489</v>
      </c>
      <c r="H18" s="514">
        <f>IF(ISNUMBER(((NºAsuntos!G18/NºAsuntos!E18)-Datos!BD18)/Datos!BD18),((NºAsuntos!G18/NºAsuntos!E18)-Datos!BD18)/Datos!BD18," - ")</f>
        <v>0.22333645735707605</v>
      </c>
      <c r="I18" s="515">
        <f>IF(ISNUMBER(((NºAsuntos!I18/NºAsuntos!G18)-Datos!BE18)/Datos!BE18),((NºAsuntos!I18/NºAsuntos!G18)-Datos!BE18)/Datos!BE18," - ")</f>
        <v>-0.39260113701903265</v>
      </c>
      <c r="J18" s="521">
        <f>IF(ISNUMBER((('Resol  Asuntos'!D18/NºAsuntos!G18)-Datos!BF18)/Datos!BF18),(('Resol  Asuntos'!D18/NºAsuntos!G18)-Datos!BF18)/Datos!BF18," - ")</f>
        <v>-0.35217056254816331</v>
      </c>
      <c r="K18" s="522">
        <f>IF(ISNUMBER((((NºAsuntos!C18+NºAsuntos!E18)/NºAsuntos!G18)-Datos!BG18)/Datos!BG18),(((NºAsuntos!C18+NºAsuntos!E18)/NºAsuntos!G18)-Datos!BG18)/Datos!BG18," - ")</f>
        <v>-0.15283842794759833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4.6223224351747465E-2</v>
      </c>
      <c r="C23" s="1152">
        <f>IF(ISNUMBER(
   IF(Criterios!B14="SI",(Datos!J23-Datos!T23)/Datos!T23,(Datos!J23+Datos!AD23-(Datos!T23+Datos!AL23))/(Datos!T23+Datos!AL23))
     ),IF(Criterios!B14="SI",(Datos!J23-Datos!T23)/Datos!T23,(Datos!J23+Datos!AD23-(Datos!T23+Datos!AL23))/(Datos!T23+Datos!AL23))," - ")</f>
        <v>0.39867549668874175</v>
      </c>
      <c r="D23" s="1152">
        <f>IF(ISNUMBER(
   IF(Criterios!B14="SI",(Datos!K23-Datos!U23)/Datos!U23,(Datos!K23+Datos!AE23-(Datos!U23+Datos!AM23))/(Datos!U23+Datos!AM23))
     ),IF(Criterios!B14="SI",(Datos!K23-Datos!U23)/Datos!U23,(Datos!K23+Datos!AE23-(Datos!U23+Datos!AM23))/(Datos!U23+Datos!AM23))," - ")</f>
        <v>0.39948119325551235</v>
      </c>
      <c r="E23" s="1152">
        <f>IF(ISNUMBER(
   IF(Criterios!B14="SI",(Datos!L23-Datos!V23)/Datos!V23,(Datos!L23+Datos!AF23-(Datos!V23+Datos!AN23))/(Datos!V23+Datos!AN23))
     ),IF(Criterios!B14="SI",(Datos!L23-Datos!V23)/Datos!V23,(Datos!L23+Datos!AF23-(Datos!V23+Datos!AN23))/(Datos!V23+Datos!AN23))," - ")</f>
        <v>0.2384887839433294</v>
      </c>
      <c r="F23" s="1153">
        <f>IF(ISNUMBER((Datos!M23-Datos!W23)/Datos!W23),(Datos!M23-Datos!W23)/Datos!W23," - ")</f>
        <v>0.21848739495798319</v>
      </c>
      <c r="G23" s="1154">
        <f>IF(ISNUMBER((Datos!N23-Datos!X23)/Datos!X23),(Datos!N23-Datos!X23)/Datos!X23," - ")</f>
        <v>0.44419134396355353</v>
      </c>
      <c r="H23" s="1154">
        <f>IF(ISNUMBER(((NºAsuntos!G23/NºAsuntos!E23)-Datos!BD23)/Datos!BD23),((NºAsuntos!G23/NºAsuntos!E23)-Datos!BD23)/Datos!BD23," - ")</f>
        <v>5.7604252643165339E-4</v>
      </c>
      <c r="I23" s="1154">
        <f>IF(ISNUMBER(((NºAsuntos!I23/NºAsuntos!G23)-Datos!BE23)/Datos!BE23),((NºAsuntos!I23/NºAsuntos!G23)-Datos!BE23)/Datos!BE23," - ")</f>
        <v>-0.11503720813687959</v>
      </c>
      <c r="J23" s="1154">
        <f>IF(ISNUMBER((('Resol  Asuntos'!D23/NºAsuntos!G23)-Datos!BF23)/Datos!BF23),(('Resol  Asuntos'!D23/NºAsuntos!G23)-Datos!BF23)/Datos!BF23," - ")</f>
        <v>-0.12932921083169133</v>
      </c>
      <c r="K23" s="1154">
        <f>IF(ISNUMBER((((NºAsuntos!C23+NºAsuntos!E23)/NºAsuntos!G23)-Datos!BG23)/Datos!BG23),(((NºAsuntos!C23+NºAsuntos!E23)/NºAsuntos!G23)-Datos!BG23)/Datos!BG23," - ")</f>
        <v>-0.13662106497760934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-7.8947368421052627E-2</v>
      </c>
      <c r="C31" s="1092">
        <f>IF(ISNUMBER(
   IF(J_V="SI",(Datos!J31-Datos!T31)/Datos!T31,(Datos!J31+Datos!Z31-(Datos!T31+Datos!AH31))/(Datos!T31+Datos!AH31))
     ),IF(J_V="SI",(Datos!J31-Datos!T31)/Datos!T31,(Datos!J31+Datos!Z31-(Datos!T31+Datos!AH31))/(Datos!T31+Datos!AH31))," - ")</f>
        <v>0.38118022328548645</v>
      </c>
      <c r="D31" s="1092">
        <f>IF(ISNUMBER(
   IF(J_V="SI",(Datos!K31-Datos!U31)/Datos!U31,(Datos!K31+Datos!AA31-(Datos!U31+Datos!AI31))/(Datos!U31+Datos!AI31))
     ),IF(J_V="SI",(Datos!K31-Datos!U31)/Datos!U31,(Datos!K31+Datos!AA31-(Datos!U31+Datos!AI31))/(Datos!U31+Datos!AI31))," - ")</f>
        <v>0.28710304601425796</v>
      </c>
      <c r="E31" s="1092">
        <f>IF(ISNUMBER(
   IF(J_V="SI",(Datos!L31-Datos!V31)/Datos!V31,(Datos!L31+Datos!AB31-(Datos!V31+Datos!AJ31))/(Datos!V31+Datos!AJ31))
     ),IF(J_V="SI",(Datos!L31-Datos!V31)/Datos!V31,(Datos!L31+Datos!AB31-(Datos!V31+Datos!AJ31))/(Datos!V31+Datos!AJ31))," - ")</f>
        <v>1.1732229123533472E-2</v>
      </c>
      <c r="F31" s="1093">
        <f>IF(ISNUMBER((Datos!M31-Datos!W31)/Datos!W31),(Datos!M31-Datos!W31)/Datos!W31," - ")</f>
        <v>0.2834008097165992</v>
      </c>
      <c r="G31" s="1094">
        <f>IF(ISNUMBER((Datos!N31-Datos!X31)/Datos!X31),(Datos!N31-Datos!X31)/Datos!X31," - ")</f>
        <v>0.52815829528158298</v>
      </c>
      <c r="H31" s="1095">
        <f>IF(ISNUMBER((Tasas!B31-Datos!BD31)/Datos!BD31),(Tasas!B31-Datos!BD31)/Datos!BD31," - ")</f>
        <v>-6.8113614490831823E-2</v>
      </c>
      <c r="I31" s="1096">
        <f>IF(ISNUMBER((Tasas!C31-Datos!BE31)/Datos!BE31),(Tasas!C31-Datos!BE31)/Datos!BE31," - ")</f>
        <v>-0.2139462086920382</v>
      </c>
      <c r="J31" s="1097">
        <f>IF(ISNUMBER((Tasas!D31-Datos!BF31)/Datos!BF31),(Tasas!D31-Datos!BF31)/Datos!BF31," - ")</f>
        <v>-0.27348222216280921</v>
      </c>
      <c r="K31" s="1097">
        <f>IF(ISNUMBER((Tasas!E31-Datos!BG31)/Datos!BG31),(Tasas!E31-Datos!BG31)/Datos!BG31," - ")</f>
        <v>-0.20729281094250737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KPSwSUgDWHZIPOV73wd93jib4TfnkamkMbJQiqi6AgXVgpgtsuEBH/u6gZHx0YbrLgsO4W+i1tBhdLgHchALw==" saltValue="68nXpGE6ly2kQPEmqqNsB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VERA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0.77777777777777779</v>
      </c>
      <c r="C10" s="498">
        <f>IF(ISNUMBER(NºAsuntos!I10/NºAsuntos!G10),NºAsuntos!I10/NºAsuntos!G10," - ")</f>
        <v>9.5714285714285712</v>
      </c>
      <c r="D10" s="499">
        <f>IF(ISNUMBER('Resol  Asuntos'!D10/NºAsuntos!G10),'Resol  Asuntos'!D10/NºAsuntos!G10," - ")</f>
        <v>0.5714285714285714</v>
      </c>
      <c r="E10" s="500">
        <f>IF(ISNUMBER((NºAsuntos!C10+NºAsuntos!E10)/NºAsuntos!G10),(NºAsuntos!C10+NºAsuntos!E10)/NºAsuntos!G10," - ")</f>
        <v>10.571428571428571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1.3493253373313343</v>
      </c>
      <c r="C12" s="498">
        <f>IF(ISNUMBER(NºAsuntos!I12/NºAsuntos!G12),NºAsuntos!I12/NºAsuntos!G12," - ")</f>
        <v>3.6466666666666665</v>
      </c>
      <c r="D12" s="499">
        <f>IF(ISNUMBER('Resol  Asuntos'!D12/NºAsuntos!G12),'Resol  Asuntos'!D12/NºAsuntos!G12," - ")</f>
        <v>0.18666666666666668</v>
      </c>
      <c r="E12" s="500">
        <f>IF(ISNUMBER((NºAsuntos!C12+NºAsuntos!E12)/NºAsuntos!G12),(NºAsuntos!C12+NºAsuntos!E12)/NºAsuntos!G12," - ")</f>
        <v>4.3044444444444441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1.3417159763313609</v>
      </c>
      <c r="C14" s="1156">
        <f>IF(ISNUMBER(NºAsuntos!I14/NºAsuntos!G14),NºAsuntos!I14/NºAsuntos!G14," - ")</f>
        <v>3.6923925027563396</v>
      </c>
      <c r="D14" s="1157">
        <f>IF(ISNUMBER('Resol  Asuntos'!D14/NºAsuntos!G14),'Resol  Asuntos'!D14/NºAsuntos!G14," - ")</f>
        <v>0.18963616317530319</v>
      </c>
      <c r="E14" s="1158">
        <f>IF(ISNUMBER((NºAsuntos!C14+NºAsuntos!E14)/NºAsuntos!G14),(NºAsuntos!C14+NºAsuntos!E14)/NºAsuntos!G14," - ")</f>
        <v>4.3528114663726569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1.0167464114832536</v>
      </c>
      <c r="C17" s="498">
        <f>IF(ISNUMBER(NºAsuntos!I17/NºAsuntos!G17),NºAsuntos!I17/NºAsuntos!G17," - ")</f>
        <v>1.1447058823529412</v>
      </c>
      <c r="D17" s="499">
        <f>IF(ISNUMBER('Resol  Asuntos'!D17/NºAsuntos!G17),'Resol  Asuntos'!D17/NºAsuntos!G17," - ")</f>
        <v>0.14000000000000001</v>
      </c>
      <c r="E17" s="500">
        <f>IF(ISNUMBER((NºAsuntos!C17+NºAsuntos!E17)/NºAsuntos!G17),(NºAsuntos!C17+NºAsuntos!E17)/NºAsuntos!G17," - ")</f>
        <v>1.9811764705882353</v>
      </c>
      <c r="G17" s="523"/>
    </row>
    <row r="18" spans="1:7">
      <c r="A18" s="450" t="str">
        <f>Datos!A18</f>
        <v>Jdos. Violencia contra la mujer</v>
      </c>
      <c r="B18" s="497">
        <f>IF(ISNUMBER(NºAsuntos!G18/NºAsuntos!E18),NºAsuntos!G18/NºAsuntos!E18," - ")</f>
        <v>1.040909090909091</v>
      </c>
      <c r="C18" s="498">
        <f>IF(ISNUMBER(NºAsuntos!I18/NºAsuntos!G18),NºAsuntos!I18/NºAsuntos!G18," - ")</f>
        <v>0.33187772925764192</v>
      </c>
      <c r="D18" s="499">
        <f>IF(ISNUMBER('Resol  Asuntos'!D18/NºAsuntos!G18),'Resol  Asuntos'!D18/NºAsuntos!G18," - ")</f>
        <v>0.11353711790393013</v>
      </c>
      <c r="E18" s="500">
        <f>IF(ISNUMBER((NºAsuntos!C18+NºAsuntos!E18)/NºAsuntos!G18),(NºAsuntos!C18+NºAsuntos!E18)/NºAsuntos!G18," - ")</f>
        <v>1.3100436681222707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1.021780303030303</v>
      </c>
      <c r="C23" s="1156">
        <f>IF(ISNUMBER(NºAsuntos!I23/NºAsuntos!G23),NºAsuntos!I23/NºAsuntos!G23," - ")</f>
        <v>0.97219647822057464</v>
      </c>
      <c r="D23" s="1159">
        <f>IF(ISNUMBER('Resol  Asuntos'!D23/NºAsuntos!G23),'Resol  Asuntos'!D23/NºAsuntos!G23," - ")</f>
        <v>0.13438368860055608</v>
      </c>
      <c r="E23" s="1158">
        <f>IF(ISNUMBER((NºAsuntos!C23+NºAsuntos!E23)/NºAsuntos!G23),(NºAsuntos!C23+NºAsuntos!E23)/NºAsuntos!G23," - ")</f>
        <v>1.8387395736793326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1.1466512702078522</v>
      </c>
      <c r="C31" s="1099">
        <f>IF(ISNUMBER(NºAsuntos!I31/NºAsuntos!G31),NºAsuntos!I31/NºAsuntos!G31," - ")</f>
        <v>2.214501510574018</v>
      </c>
      <c r="D31" s="1100">
        <f>IF(ISNUMBER('Resol  Asuntos'!D31/NºAsuntos!G31),'Resol  Asuntos'!D31/NºAsuntos!G31," - ")</f>
        <v>0.1596173212487412</v>
      </c>
      <c r="E31" s="1101">
        <f>IF(ISNUMBER((NºAsuntos!C31+NºAsuntos!E31)/NºAsuntos!G31),(NºAsuntos!C31+NºAsuntos!E31)/NºAsuntos!G31," - ")</f>
        <v>2.986908358509567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aM3e7E5uHBgvtDn4T7w2gzQpE3Z3A1TlgAigMrNfP4lYkDlOfWG+rATMvxmFH8Fs/FbBj0vfBardXy5jnmxGw==" saltValue="MlWP4ckm9L5MtMlvcEVxM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65</v>
      </c>
      <c r="G10" s="373">
        <f>IF(ISNUMBER(Datos!I10),Datos!I10," - ")</f>
        <v>65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67</v>
      </c>
      <c r="AB10" s="374">
        <f>IF(ISNUMBER(Datos!R10),Datos!R10," - ")</f>
        <v>5</v>
      </c>
      <c r="AC10" s="374">
        <f t="shared" ref="AC10:AC13" si="1">IF(ISNUMBER(AA10+AB10),AA10+AB10," - ")</f>
        <v>72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0.77777777777777779</v>
      </c>
      <c r="AM10" s="284">
        <f>IF(ISNUMBER(((NºAsuntos!I10/NºAsuntos!G10)*11)/factor_trimestre),((NºAsuntos!I10/NºAsuntos!G10)*11)/factor_trimestre," - ")</f>
        <v>19.142857142857142</v>
      </c>
      <c r="AN10" s="267">
        <f>IF(ISNUMBER('Resol  Asuntos'!D10/NºAsuntos!G10),'Resol  Asuntos'!D10/NºAsuntos!G10," - ")</f>
        <v>0.5714285714285714</v>
      </c>
      <c r="AO10" s="268">
        <f>IF(ISNUMBER((NºAsuntos!C10+NºAsuntos!E10)/NºAsuntos!G10),(NºAsuntos!C10+NºAsuntos!E10)/NºAsuntos!G10," - ")</f>
        <v>10.571428571428571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108</v>
      </c>
      <c r="Y12" s="374">
        <f t="shared" si="0"/>
        <v>108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168</v>
      </c>
      <c r="AJ12" s="243" t="str">
        <f>IF(ISNUMBER(Datos!BW12),Datos!BW12," - ")</f>
        <v xml:space="preserve"> - </v>
      </c>
      <c r="AK12" s="242" t="str">
        <f>IF(ISNUMBER(Datos!BX12),Datos!BX12," - ")</f>
        <v xml:space="preserve"> - </v>
      </c>
      <c r="AL12" s="266">
        <f>IF(ISNUMBER(NºAsuntos!G12/NºAsuntos!E12),NºAsuntos!G12/NºAsuntos!E12," - ")</f>
        <v>1.3493253373313343</v>
      </c>
      <c r="AM12" s="284">
        <f>IF(ISNUMBER(((NºAsuntos!I12/NºAsuntos!G12)*11)/factor_trimestre),((NºAsuntos!I12/NºAsuntos!G12)*11)/factor_trimestre," - ")</f>
        <v>7.293333333333333</v>
      </c>
      <c r="AN12" s="267">
        <f>IF(ISNUMBER('Resol  Asuntos'!D12/NºAsuntos!G12),'Resol  Asuntos'!D12/NºAsuntos!G12," - ")</f>
        <v>0.18666666666666668</v>
      </c>
      <c r="AO12" s="268">
        <f>IF(ISNUMBER((NºAsuntos!C12+NºAsuntos!E12)/NºAsuntos!G12),(NºAsuntos!C12+NºAsuntos!E12)/NºAsuntos!G12," - ")</f>
        <v>4.3044444444444441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65</v>
      </c>
      <c r="G14" s="1163">
        <f t="shared" si="5"/>
        <v>65</v>
      </c>
      <c r="H14" s="1162">
        <f t="shared" si="5"/>
        <v>0</v>
      </c>
      <c r="I14" s="1164">
        <f t="shared" si="5"/>
        <v>0</v>
      </c>
      <c r="J14" s="1164">
        <f t="shared" si="5"/>
        <v>0</v>
      </c>
      <c r="K14" s="1164">
        <f t="shared" si="5"/>
        <v>0</v>
      </c>
      <c r="L14" s="1164">
        <f t="shared" si="5"/>
        <v>160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108</v>
      </c>
      <c r="Y14" s="1165">
        <f t="shared" si="6"/>
        <v>115</v>
      </c>
      <c r="Z14" s="1165">
        <f t="shared" si="6"/>
        <v>0</v>
      </c>
      <c r="AA14" s="1165">
        <f t="shared" si="6"/>
        <v>67</v>
      </c>
      <c r="AB14" s="1165">
        <f t="shared" si="6"/>
        <v>5878</v>
      </c>
      <c r="AC14" s="1165">
        <f t="shared" si="6"/>
        <v>72</v>
      </c>
      <c r="AD14" s="1165">
        <f t="shared" si="6"/>
        <v>0</v>
      </c>
      <c r="AE14" s="1169">
        <f t="shared" si="6"/>
        <v>0</v>
      </c>
      <c r="AF14" s="1162">
        <f t="shared" si="6"/>
        <v>0</v>
      </c>
      <c r="AG14" s="1170">
        <f t="shared" si="6"/>
        <v>0</v>
      </c>
      <c r="AH14" s="1167">
        <f t="shared" si="6"/>
        <v>0</v>
      </c>
      <c r="AI14" s="1162">
        <f t="shared" si="6"/>
        <v>172</v>
      </c>
      <c r="AJ14" s="1164">
        <f t="shared" si="6"/>
        <v>0</v>
      </c>
      <c r="AK14" s="1167">
        <f>SUBTOTAL(9,AK9:AK13)</f>
        <v>0</v>
      </c>
      <c r="AL14" s="1171">
        <f>IF(ISNUMBER(NºAsuntos!G14/NºAsuntos!E14),NºAsuntos!G14/NºAsuntos!E14," - ")</f>
        <v>1.3417159763313609</v>
      </c>
      <c r="AM14" s="1171">
        <f>IF(ISNUMBER(((NºAsuntos!I14/NºAsuntos!G14)*11)/factor_trimestre),((NºAsuntos!I14/NºAsuntos!G14)*11)/factor_trimestre," - ")</f>
        <v>7.3847850055126791</v>
      </c>
      <c r="AN14" s="1172">
        <f>IF(ISNUMBER('Resol  Asuntos'!D14/NºAsuntos!G14),'Resol  Asuntos'!D14/NºAsuntos!G14," - ")</f>
        <v>0.18963616317530319</v>
      </c>
      <c r="AO14" s="1173">
        <f>IF(ISNUMBER((NºAsuntos!C14+NºAsuntos!E14)/NºAsuntos!G14),(NºAsuntos!C14+NºAsuntos!E14)/NºAsuntos!G14," - ")</f>
        <v>4.3528114663726569</v>
      </c>
      <c r="AP14" s="1174" t="str">
        <f t="shared" si="2"/>
        <v xml:space="preserve"> - </v>
      </c>
      <c r="AQ14" s="1174">
        <f>IF(ISNUMBER((H14-W14+K14)/(F14)),(H14-W14+K14)/(F14)," - ")</f>
        <v>-0.1076923076923077</v>
      </c>
      <c r="AR14" s="1175">
        <f>IF(ISNUMBER((Datos!P14-Datos!Q14)/(Datos!R14-Datos!P14+Datos!Q14)),(Datos!P14-Datos!Q14)/(Datos!R14-Datos!P14+Datos!Q14)," - ")</f>
        <v>8.9255063508410573E-3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987</v>
      </c>
      <c r="G17" s="373">
        <f>IF(ISNUMBER(IF(D_I="SI",Datos!I17,Datos!I17+Datos!AC17)),IF(D_I="SI",Datos!I17,Datos!I17+Datos!AC17)," - ")</f>
        <v>848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850</v>
      </c>
      <c r="X17" s="240">
        <f>IF(ISNUMBER(Datos!Q17),Datos!Q17," - ")</f>
        <v>9</v>
      </c>
      <c r="Y17" s="374">
        <f t="shared" ref="Y17:Y22" si="9">SUM(W17:X17)</f>
        <v>859</v>
      </c>
      <c r="Z17" s="375" t="str">
        <f>IF(ISNUMBER(Datos!CC17),Datos!CC17," - ")</f>
        <v xml:space="preserve"> - </v>
      </c>
      <c r="AA17" s="372">
        <f>IF(ISNUMBER(IF(D_I="SI",Datos!L17,Datos!L17+Datos!AF17)),IF(D_I="SI",Datos!L17,Datos!L17+Datos!AF17)," - ")</f>
        <v>973</v>
      </c>
      <c r="AB17" s="374">
        <f>IF(ISNUMBER(Datos!R17),Datos!R17," - ")</f>
        <v>114</v>
      </c>
      <c r="AC17" s="374">
        <f t="shared" si="8"/>
        <v>1087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119</v>
      </c>
      <c r="AJ17" s="245" t="str">
        <f>IF(ISNUMBER(Datos!BW17),Datos!BW17," - ")</f>
        <v xml:space="preserve"> - </v>
      </c>
      <c r="AK17" s="246" t="str">
        <f>IF(ISNUMBER(Datos!BX17),Datos!BX17," - ")</f>
        <v xml:space="preserve"> - </v>
      </c>
      <c r="AL17" s="266">
        <f>IF(ISNUMBER(NºAsuntos!G17/NºAsuntos!E17),NºAsuntos!G17/NºAsuntos!E17," - ")</f>
        <v>1.0167464114832536</v>
      </c>
      <c r="AM17" s="284">
        <f>IF(ISNUMBER(((NºAsuntos!I17/NºAsuntos!G17)*11)/factor_trimestre),((NºAsuntos!I17/NºAsuntos!G17)*11)/factor_trimestre," - ")</f>
        <v>2.2894117647058825</v>
      </c>
      <c r="AN17" s="267">
        <f>IF(ISNUMBER('Resol  Asuntos'!D17/NºAsuntos!G17),'Resol  Asuntos'!D17/NºAsuntos!G17," - ")</f>
        <v>0.14000000000000001</v>
      </c>
      <c r="AO17" s="268">
        <f>IF(ISNUMBER((NºAsuntos!C17+NºAsuntos!E17)/NºAsuntos!G17),(NºAsuntos!C17+NºAsuntos!E17)/NºAsuntos!G17," - ")</f>
        <v>1.9811764705882353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229</v>
      </c>
      <c r="X18" s="240">
        <f>IF(ISNUMBER(Datos!Q18),Datos!Q18," - ")</f>
        <v>2</v>
      </c>
      <c r="Y18" s="374">
        <f t="shared" si="9"/>
        <v>231</v>
      </c>
      <c r="Z18" s="375" t="str">
        <f>IF(ISNUMBER(Datos!CC18),Datos!CC18," - ")</f>
        <v xml:space="preserve"> - </v>
      </c>
      <c r="AA18" s="372">
        <f>IF(ISNUMBER(Datos!L18),Datos!L18,"-")</f>
        <v>76</v>
      </c>
      <c r="AB18" s="374">
        <f>IF(ISNUMBER(Datos!R18),Datos!R18," - ")</f>
        <v>1</v>
      </c>
      <c r="AC18" s="374">
        <f t="shared" si="8"/>
        <v>77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1.040909090909091</v>
      </c>
      <c r="AM18" s="284">
        <f>IF(ISNUMBER(((NºAsuntos!I18/NºAsuntos!G18)*11)/factor_trimestre),((NºAsuntos!I18/NºAsuntos!G18)*11)/factor_trimestre," - ")</f>
        <v>0.66375545851528384</v>
      </c>
      <c r="AN18" s="267">
        <f>IF(ISNUMBER('Resol  Asuntos'!D18/NºAsuntos!G18),'Resol  Asuntos'!D18/NºAsuntos!G18," - ")</f>
        <v>0.11353711790393013</v>
      </c>
      <c r="AO18" s="268">
        <f>IF(ISNUMBER((NºAsuntos!C18+NºAsuntos!E18)/NºAsuntos!G18),(NºAsuntos!C18+NºAsuntos!E18)/NºAsuntos!G18," - ")</f>
        <v>1.3100436681222707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987</v>
      </c>
      <c r="G23" s="1163">
        <f>SUBTOTAL(9,G16:G22)</f>
        <v>928</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1079</v>
      </c>
      <c r="X23" s="1164">
        <f t="shared" si="14"/>
        <v>11</v>
      </c>
      <c r="Y23" s="1165">
        <f t="shared" si="14"/>
        <v>1090</v>
      </c>
      <c r="Z23" s="1165">
        <f t="shared" si="14"/>
        <v>0</v>
      </c>
      <c r="AA23" s="1165">
        <f t="shared" si="14"/>
        <v>1049</v>
      </c>
      <c r="AB23" s="1165">
        <f t="shared" si="14"/>
        <v>115</v>
      </c>
      <c r="AC23" s="1165">
        <f t="shared" si="14"/>
        <v>1164</v>
      </c>
      <c r="AD23" s="1165">
        <f t="shared" si="14"/>
        <v>0</v>
      </c>
      <c r="AE23" s="1169">
        <f t="shared" si="14"/>
        <v>0</v>
      </c>
      <c r="AF23" s="1162">
        <f t="shared" si="14"/>
        <v>0</v>
      </c>
      <c r="AG23" s="1170">
        <f t="shared" si="14"/>
        <v>0</v>
      </c>
      <c r="AH23" s="1167">
        <f t="shared" si="14"/>
        <v>0</v>
      </c>
      <c r="AI23" s="1162">
        <f t="shared" si="14"/>
        <v>145</v>
      </c>
      <c r="AJ23" s="1164">
        <f t="shared" si="14"/>
        <v>0</v>
      </c>
      <c r="AK23" s="1167">
        <f t="shared" si="14"/>
        <v>0</v>
      </c>
      <c r="AL23" s="1171">
        <f>IF(ISNUMBER(NºAsuntos!G23/NºAsuntos!E23),NºAsuntos!G23/NºAsuntos!E23," - ")</f>
        <v>1.021780303030303</v>
      </c>
      <c r="AM23" s="1171">
        <f>IF(ISNUMBER(((NºAsuntos!I23/NºAsuntos!G23)*11)/factor_trimestre),((NºAsuntos!I23/NºAsuntos!G23)*11)/factor_trimestre," - ")</f>
        <v>1.9443929564411493</v>
      </c>
      <c r="AN23" s="1172">
        <f>IF(ISNUMBER('Resol  Asuntos'!D23/NºAsuntos!G23),'Resol  Asuntos'!D23/NºAsuntos!G23," - ")</f>
        <v>0.13438368860055608</v>
      </c>
      <c r="AO23" s="1173">
        <f>IF(ISNUMBER((NºAsuntos!C23+NºAsuntos!E23)/NºAsuntos!G23),(NºAsuntos!C23+NºAsuntos!E23)/NºAsuntos!G23," - ")</f>
        <v>1.8387395736793326</v>
      </c>
      <c r="AP23" s="1174" t="str">
        <f t="shared" si="2"/>
        <v xml:space="preserve"> - </v>
      </c>
      <c r="AQ23" s="1174">
        <f>IF(ISNUMBER((H23-W23+K23)/(F23)),(H23-W23+K23)/(F23)," - ")</f>
        <v>-1.0932117527862208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1052</v>
      </c>
      <c r="G31" s="1118">
        <f t="shared" si="20"/>
        <v>993</v>
      </c>
      <c r="H31" s="1117">
        <f t="shared" si="20"/>
        <v>0</v>
      </c>
      <c r="I31" s="1119">
        <f t="shared" si="20"/>
        <v>0</v>
      </c>
      <c r="J31" s="1119">
        <f t="shared" si="20"/>
        <v>0</v>
      </c>
      <c r="K31" s="1180">
        <f t="shared" si="20"/>
        <v>0</v>
      </c>
      <c r="L31" s="1119">
        <f t="shared" si="20"/>
        <v>171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1086</v>
      </c>
      <c r="X31" s="1118">
        <f t="shared" si="21"/>
        <v>119</v>
      </c>
      <c r="Y31" s="1125">
        <f t="shared" si="21"/>
        <v>1205</v>
      </c>
      <c r="Z31" s="1125">
        <f t="shared" si="21"/>
        <v>0</v>
      </c>
      <c r="AA31" s="1125">
        <f t="shared" si="21"/>
        <v>1116</v>
      </c>
      <c r="AB31" s="1125">
        <f t="shared" si="21"/>
        <v>5993</v>
      </c>
      <c r="AC31" s="1125">
        <f t="shared" si="21"/>
        <v>1236</v>
      </c>
      <c r="AD31" s="1125">
        <f t="shared" si="21"/>
        <v>0</v>
      </c>
      <c r="AE31" s="1127">
        <f t="shared" si="21"/>
        <v>0</v>
      </c>
      <c r="AF31" s="1128">
        <f t="shared" si="21"/>
        <v>0</v>
      </c>
      <c r="AG31" s="1129">
        <f t="shared" si="21"/>
        <v>0</v>
      </c>
      <c r="AH31" s="1127">
        <f t="shared" si="21"/>
        <v>0</v>
      </c>
      <c r="AI31" s="1117">
        <f t="shared" si="21"/>
        <v>317</v>
      </c>
      <c r="AJ31" s="1117">
        <f t="shared" si="21"/>
        <v>0</v>
      </c>
      <c r="AK31" s="1127">
        <f t="shared" si="21"/>
        <v>0</v>
      </c>
      <c r="AL31" s="1183">
        <f>IF(ISNUMBER(NºAsuntos!G31/NºAsuntos!E31),NºAsuntos!G31/NºAsuntos!E31," - ")</f>
        <v>1.1466512702078522</v>
      </c>
      <c r="AM31" s="1184">
        <f>IF(ISNUMBER(((NºAsuntos!I31/NºAsuntos!G31)*11)/factor_trimestre),((NºAsuntos!I31/NºAsuntos!G31)*11)/factor_trimestre," - ")</f>
        <v>4.429003021148036</v>
      </c>
      <c r="AN31" s="1184">
        <f>IF(ISNUMBER('Resol  Asuntos'!D31/NºAsuntos!G31),'Resol  Asuntos'!D31/NºAsuntos!G31," - ")</f>
        <v>0.1596173212487412</v>
      </c>
      <c r="AO31" s="1185">
        <f>IF(ISNUMBER((NºAsuntos!C31+NºAsuntos!E31)/NºAsuntos!G31),(NºAsuntos!C31+NºAsuntos!E31)/NºAsuntos!G31," - ")</f>
        <v>2.986908358509567</v>
      </c>
      <c r="AP31" s="1186" t="str">
        <f t="shared" si="2"/>
        <v xml:space="preserve"> - </v>
      </c>
      <c r="AQ31" s="1187">
        <f>IF(OR(ISNUMBER(FIND("01",Criterios!A8,1)),ISNUMBER(FIND("02",Criterios!A8,1)),ISNUMBER(FIND("03",Criterios!A8,1)),ISNUMBER(FIND("04",Criterios!A8,1))),(I31-W31+K31)/(F31-K31),(H31-W31+K31)/(F31-K31))</f>
        <v>-1.0323193916349811</v>
      </c>
      <c r="AR31" s="1188">
        <f>IF(ISNUMBER((Datos!P31-Datos!Q31)/(Datos!R31-Datos!P31+Datos!Q31)),(Datos!P31-Datos!Q31)/(Datos!R31-Datos!P31+Datos!Q31)," - ")</f>
        <v>8.7527352297592995E-3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493.75810541870266</v>
      </c>
      <c r="G33" s="277">
        <f>IF(ISNUMBER(STDEV(G8:G30)),STDEV(G8:G30),"-")</f>
        <v>414.66481013211717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459.22750871643649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78.777716211048997</v>
      </c>
      <c r="AJ33" s="276">
        <f t="shared" si="25"/>
        <v>0</v>
      </c>
      <c r="AK33" s="278">
        <f t="shared" si="25"/>
        <v>0</v>
      </c>
      <c r="AL33" s="273">
        <f t="shared" si="25"/>
        <v>0.21932252724791565</v>
      </c>
      <c r="AM33" s="274">
        <f t="shared" si="25"/>
        <v>6.8379121739508806</v>
      </c>
      <c r="AN33" s="274">
        <f t="shared" si="25"/>
        <v>0.17352739300830708</v>
      </c>
      <c r="AO33" s="275">
        <f t="shared" si="25"/>
        <v>3.4456337109714972</v>
      </c>
      <c r="AP33" s="317" t="str">
        <f t="shared" si="25"/>
        <v>-</v>
      </c>
      <c r="AQ33" s="318">
        <f t="shared" si="25"/>
        <v>0.6968674826171094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cTroRokyyRXx/6igbrGdYPwwF3iBqyuRyxSliY7741dxaQxuYe0dnXfabom8PDYcZ2stkZWKfoxjeEuF6KI3A==" saltValue="NxUOcSJaeRyVgOIUHBKj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VERA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-0.15584415584415584</v>
      </c>
      <c r="E10" s="393">
        <f>IF(ISNUMBER((Datos!J10-Datos!T10)/Datos!T10),(Datos!J10-Datos!T10)/Datos!T10," - ")</f>
        <v>0.5</v>
      </c>
      <c r="F10" s="393">
        <f>IF(ISNUMBER((Datos!K10-Datos!U10)/Datos!U10),(Datos!K10-Datos!U10)/Datos!U10," - ")</f>
        <v>2.5</v>
      </c>
      <c r="G10" s="394">
        <f>IF(ISNUMBER((Datos!L10-Datos!V10)/Datos!V10),(Datos!L10-Datos!V10)/Datos!V10," - ")</f>
        <v>-0.1728395061728395</v>
      </c>
      <c r="H10" s="244">
        <f>IF(ISNUMBER((Datos!M10-Datos!W10)/Datos!W10),(Datos!M10-Datos!W10)/Datos!W10," - ")</f>
        <v>1</v>
      </c>
      <c r="I10" s="395">
        <f>IF(ISNUMBER((Tasas!C10-Datos!BE10)/Datos!BE10),(Tasas!C10-Datos!BE10)/Datos!BE10," - ")</f>
        <v>-0.76366843033509701</v>
      </c>
      <c r="J10" s="394">
        <f>IF(ISNUMBER((Tasas!D10-Datos!BF10)/Datos!BF10),(Tasas!D10-Datos!BF10)/Datos!BF10," - ")</f>
        <v>-0.4285714285714286</v>
      </c>
      <c r="K10" s="396">
        <f>IF(ISNUMBER((Tasas!E10-Datos!BG10)/Datos!BG10),(Tasas!E10-Datos!BG10)/Datos!BG10," - ")</f>
        <v>-0.74526678141135982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-0.17872672321341521</v>
      </c>
      <c r="J12" s="394">
        <f>IF(ISNUMBER((Tasas!D12-Datos!BF12)/Datos!BF12),(Tasas!D12-Datos!BF12)/Datos!BF12," - ")</f>
        <v>-0.34067278287461766</v>
      </c>
      <c r="K12" s="396">
        <f>IF(ISNUMBER((Tasas!E12-Datos!BG12)/Datos!BG12),(Tasas!E12-Datos!BG12)/Datos!BG12," - ")</f>
        <v>-0.18942963506426466</v>
      </c>
      <c r="M12" t="e">
        <f>IF(Monitorios="SI",Datos!CE12,0)</f>
        <v>#REF!</v>
      </c>
      <c r="N12" t="e">
        <f>IF(Monitorios="SI",Datos!CF12,0)</f>
        <v>#REF!</v>
      </c>
      <c r="O12" t="e">
        <f>IF(Monitorios="SI",Datos!CG12,0)</f>
        <v>#REF!</v>
      </c>
      <c r="P12" t="e">
        <f>IF(Monitorios="SI",Datos!CH12,0)</f>
        <v>#REF!</v>
      </c>
      <c r="Q12">
        <f>IF(J_V="SI",0,Datos!AG12)</f>
        <v>125</v>
      </c>
      <c r="R12">
        <f>IF(J_V="SI",0,Datos!AH12)</f>
        <v>62</v>
      </c>
      <c r="S12">
        <f>IF(J_V="SI",0,Datos!AI12)</f>
        <v>59</v>
      </c>
      <c r="T12">
        <f>IF(J_V="SI",0,Datos!AJ12)</f>
        <v>124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0.34375</v>
      </c>
      <c r="I14" s="402">
        <f>IF(ISNUMBER((Tasas!C14-Datos!BE14)/Datos!BE14),(Tasas!C14-Datos!BE14)/Datos!BE14," - ")</f>
        <v>-0.18556371082060169</v>
      </c>
      <c r="J14" s="400">
        <f>IF(ISNUMBER((Tasas!D14-Datos!BF14)/Datos!BF14),(Tasas!D14-Datos!BF14)/Datos!BF14," - ")</f>
        <v>-0.33454946376666339</v>
      </c>
      <c r="K14" s="403">
        <f>IF(ISNUMBER((Tasas!E14-Datos!BG14)/Datos!BG14),(Tasas!E14-Datos!BG14)/Datos!BG14," - ")</f>
        <v>-0.1945420776510807</v>
      </c>
      <c r="M14" t="e">
        <f>IF(Monitorios="SI",Datos!CE14,0)</f>
        <v>#REF!</v>
      </c>
      <c r="N14" t="e">
        <f>IF(Monitorios="SI",Datos!CF14,0)</f>
        <v>#REF!</v>
      </c>
      <c r="O14" t="e">
        <f>IF(Monitorios="SI",Datos!CG14,0)</f>
        <v>#REF!</v>
      </c>
      <c r="P14" t="e">
        <f>IF(Monitorios="SI",Datos!CH14,0)</f>
        <v>#REF!</v>
      </c>
      <c r="Q14">
        <f>IF(J_V="SI",0,Datos!AG14)</f>
        <v>125</v>
      </c>
      <c r="R14">
        <f>IF(J_V="SI",0,Datos!AH14)</f>
        <v>62</v>
      </c>
      <c r="S14">
        <f>IF(J_V="SI",0,Datos!AI14)</f>
        <v>59</v>
      </c>
      <c r="T14">
        <f>IF(J_V="SI",0,Datos!AJ14)</f>
        <v>124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-3.5252643948296123E-3</v>
      </c>
      <c r="E17" s="393">
        <f>IF(ISNUMBER(
   IF(D_I="SI",(Datos!J17-Datos!T17)/Datos!T17,(Datos!J17+Datos!AD17-(Datos!T17+Datos!AL17))/(Datos!T17+Datos!AL17))
     ),IF(D_I="SI",(Datos!J17-Datos!T17)/Datos!T17,(Datos!J17+Datos!AD17-(Datos!T17+Datos!AL17))/(Datos!T17+Datos!AL17))," - ")</f>
        <v>0.30421216848673949</v>
      </c>
      <c r="F17" s="393">
        <f>IF(ISNUMBER(
   IF(D_I="SI",(Datos!K17-Datos!U17)/Datos!U17,(Datos!K17+Datos!AE17-(Datos!U17+Datos!AM17))/(Datos!U17+Datos!AM17))
     ),IF(D_I="SI",(Datos!K17-Datos!U17)/Datos!U17,(Datos!K17+Datos!AE17-(Datos!U17+Datos!AM17))/(Datos!U17+Datos!AM17))," - ")</f>
        <v>0.26112759643916916</v>
      </c>
      <c r="G17" s="394">
        <f>IF(ISNUMBER(
   IF(D_I="SI",(Datos!L17-Datos!V17)/Datos!V17,(Datos!L17+Datos!AF17-(Datos!V17+Datos!AN17))/(Datos!V17+Datos!AN17))
     ),IF(D_I="SI",(Datos!L17-Datos!V17)/Datos!V17,(Datos!L17+Datos!AF17-(Datos!V17+Datos!AN17))/(Datos!V17+Datos!AN17))," - ")</f>
        <v>0.22544080604534006</v>
      </c>
      <c r="H17" s="244">
        <f>IF(ISNUMBER((Datos!M17-Datos!W17)/Datos!W17),(Datos!M17-Datos!W17)/Datos!W17," - ")</f>
        <v>0.16666666666666666</v>
      </c>
      <c r="I17" s="395">
        <f>IF(ISNUMBER((Tasas!C17-Datos!BE17)/Datos!BE17),(Tasas!C17-Datos!BE17)/Datos!BE17," - ")</f>
        <v>-2.8297525559342014E-2</v>
      </c>
      <c r="J17" s="394">
        <f>IF(ISNUMBER((Tasas!D17-Datos!BF17)/Datos!BF17),(Tasas!D17-Datos!BF17)/Datos!BF17," - ")</f>
        <v>-7.4901960784313687E-2</v>
      </c>
      <c r="K17" s="396">
        <f>IF(ISNUMBER((Tasas!E17-Datos!BG17)/Datos!BG17),(Tasas!E17-Datos!BG17)/Datos!BG17," - ")</f>
        <v>-0.10501813594070328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1.2222222222222223</v>
      </c>
      <c r="E18" s="393">
        <f>IF(ISNUMBER(
   IF(D_I="SI",(Datos!J18-Datos!T18)/Datos!T18,(Datos!J18+Datos!AD18-(Datos!T18+Datos!AL18))/(Datos!T18+Datos!AL18))
     ),IF(D_I="SI",(Datos!J18-Datos!T18)/Datos!T18,(Datos!J18+Datos!AD18-(Datos!T18+Datos!AL18))/(Datos!T18+Datos!AL18))," - ")</f>
        <v>0.92982456140350878</v>
      </c>
      <c r="F18" s="393">
        <f>IF(ISNUMBER(
   IF(D_I="SI",(Datos!K18-Datos!U18)/Datos!U18,(Datos!K18+Datos!AE18-(Datos!U18+Datos!AM18))/(Datos!U18+Datos!AM18))
     ),IF(D_I="SI",(Datos!K18-Datos!U18)/Datos!U18,(Datos!K18+Datos!AE18-(Datos!U18+Datos!AM18))/(Datos!U18+Datos!AM18))," - ")</f>
        <v>1.3608247422680413</v>
      </c>
      <c r="G18" s="394">
        <f>IF(ISNUMBER(
   IF(D_I="SI",(Datos!L18-Datos!V18)/Datos!V18,(Datos!L18+Datos!AF18-(Datos!V18+Datos!AN18))/(Datos!V18+Datos!AN18))
     ),IF(D_I="SI",(Datos!L18-Datos!V18)/Datos!V18,(Datos!L18+Datos!AF18-(Datos!V18+Datos!AN18))/(Datos!V18+Datos!AN18))," - ")</f>
        <v>0.43396226415094341</v>
      </c>
      <c r="H18" s="244">
        <f>IF(ISNUMBER((Datos!M18-Datos!W18)/Datos!W18),(Datos!M18-Datos!W18)/Datos!W18," - ")</f>
        <v>0.52941176470588236</v>
      </c>
      <c r="I18" s="395">
        <f>IF(ISNUMBER((Tasas!C18-Datos!BE18)/Datos!BE18),(Tasas!C18-Datos!BE18)/Datos!BE18," - ")</f>
        <v>-0.39260113701903265</v>
      </c>
      <c r="J18" s="394">
        <f>IF(ISNUMBER((Tasas!D18-Datos!BF18)/Datos!BF18),(Tasas!D18-Datos!BF18)/Datos!BF18," - ")</f>
        <v>-0.35217056254816331</v>
      </c>
      <c r="K18" s="396">
        <f>IF(ISNUMBER((Tasas!E18-Datos!BG18)/Datos!BG18),(Tasas!E18-Datos!BG18)/Datos!BG18," - ")</f>
        <v>-0.15283842794759833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4.6223224351747465E-2</v>
      </c>
      <c r="E23" s="399">
        <f>IF(ISNUMBER(
   IF(D_I="SI",(Datos!J23-Datos!T23)/Datos!T23,(Datos!J23+Datos!AD23-(Datos!T23+Datos!AL23))/(Datos!T23+Datos!AL23))
     ),IF(D_I="SI",(Datos!J23-Datos!T23)/Datos!T23,(Datos!J23+Datos!AD23-(Datos!T23+Datos!AL23))/(Datos!T23+Datos!AL23))," - ")</f>
        <v>0.39867549668874175</v>
      </c>
      <c r="F23" s="399">
        <f>IF(ISNUMBER(
   IF(D_I="SI",(Datos!K23-Datos!U23)/Datos!U23,(Datos!K23+Datos!AE23-(Datos!U23+Datos!AM23))/(Datos!U23+Datos!AM23))
     ),IF(D_I="SI",(Datos!K23-Datos!U23)/Datos!U23,(Datos!K23+Datos!AE23-(Datos!U23+Datos!AM23))/(Datos!U23+Datos!AM23))," - ")</f>
        <v>0.39948119325551235</v>
      </c>
      <c r="G23" s="400">
        <f>IF(ISNUMBER(
   IF(D_I="SI",(Datos!L23-Datos!V23)/Datos!V23,(Datos!L23+Datos!AF23-(Datos!V23+Datos!AN23))/(Datos!V23+Datos!AN23))
     ),IF(D_I="SI",(Datos!L23-Datos!V23)/Datos!V23,(Datos!L23+Datos!AF23-(Datos!V23+Datos!AN23))/(Datos!V23+Datos!AN23))," - ")</f>
        <v>0.2384887839433294</v>
      </c>
      <c r="H23" s="401">
        <f>IF(ISNUMBER((Datos!M23-Datos!W23)/Datos!W23),(Datos!M23-Datos!W23)/Datos!W23," - ")</f>
        <v>0.21848739495798319</v>
      </c>
      <c r="I23" s="402">
        <f>IF(ISNUMBER((Tasas!C23-Datos!BE23)/Datos!BE23),(Tasas!C23-Datos!BE23)/Datos!BE23," - ")</f>
        <v>-0.11503720813687959</v>
      </c>
      <c r="J23" s="400">
        <f>IF(ISNUMBER((Tasas!D23-Datos!BF23)/Datos!BF23),(Tasas!D23-Datos!BF23)/Datos!BF23," - ")</f>
        <v>-0.12932921083169133</v>
      </c>
      <c r="K23" s="403">
        <f>IF(ISNUMBER((Tasas!E23-Datos!BG23)/Datos!BG23),(Tasas!E23-Datos!BG23)/Datos!BG23," - ")</f>
        <v>-0.13662106497760934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-7.8947368421052627E-2</v>
      </c>
      <c r="E31" s="409">
        <f>IF(ISNUMBER(
   IF(J_V="SI",(Datos!J31-Datos!T31)/Datos!T31,(Datos!J31+Datos!Z31-(Datos!T31+Datos!AH31))/(Datos!T31+Datos!AH31))
     ),IF(J_V="SI",(Datos!J31-Datos!T31)/Datos!T31,(Datos!J31+Datos!Z31-(Datos!T31+Datos!AH31))/(Datos!T31+Datos!AH31))," - ")</f>
        <v>0.38118022328548645</v>
      </c>
      <c r="F31" s="409">
        <f>IF(ISNUMBER(
   IF(J_V="SI",(Datos!K31-Datos!U31)/Datos!U31,(Datos!K31+Datos!AA31-(Datos!U31+Datos!AI31))/(Datos!U31+Datos!AI31))
     ),IF(J_V="SI",(Datos!K31-Datos!U31)/Datos!U31,(Datos!K31+Datos!AA31-(Datos!U31+Datos!AI31))/(Datos!U31+Datos!AI31))," - ")</f>
        <v>0.28710304601425796</v>
      </c>
      <c r="G31" s="410">
        <f>IF(ISNUMBER(
   IF(J_V="SI",(Datos!L31-Datos!V31)/Datos!V31,(Datos!L31+Datos!AB31-(Datos!V31+Datos!AJ31))/(Datos!V31+Datos!AJ31))
     ),IF(J_V="SI",(Datos!L31-Datos!V31)/Datos!V31,(Datos!L31+Datos!AB31-(Datos!V31+Datos!AJ31))/(Datos!V31+Datos!AJ31))," - ")</f>
        <v>1.1732229123533472E-2</v>
      </c>
      <c r="H31" s="411">
        <f>IF(ISNUMBER((Datos!M31-Datos!W31)/Datos!W31),(Datos!M31-Datos!W31)/Datos!W31," - ")</f>
        <v>0.2834008097165992</v>
      </c>
      <c r="I31" s="408">
        <f>IF(ISNUMBER((Tasas!C31-Datos!BE31)/Datos!BE31),(Tasas!C31-Datos!BE31)/Datos!BE31," - ")</f>
        <v>-0.2139462086920382</v>
      </c>
      <c r="J31" s="409">
        <f>IF(ISNUMBER((Tasas!D31-Datos!BF31)/Datos!BF31),(Tasas!D31-Datos!BF31)/Datos!BF31," - ")</f>
        <v>-0.27348222216280921</v>
      </c>
      <c r="K31" s="410">
        <f>IF(ISNUMBER((Tasas!E31-Datos!BG31)/Datos!BG31),(Tasas!E31-Datos!BG31)/Datos!BG31," - ")</f>
        <v>-0.20729281094250737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0.6358068803537178</v>
      </c>
      <c r="E33" s="303">
        <f t="shared" si="1"/>
        <v>0.27625202850221664</v>
      </c>
      <c r="F33" s="303">
        <f t="shared" si="1"/>
        <v>1.0358211764210079</v>
      </c>
      <c r="G33" s="304">
        <f t="shared" si="1"/>
        <v>0.25460555890448278</v>
      </c>
      <c r="H33" s="310">
        <f t="shared" si="1"/>
        <v>0.30516409201903416</v>
      </c>
      <c r="I33" s="302">
        <f t="shared" si="1"/>
        <v>0.26695028910954716</v>
      </c>
      <c r="J33" s="303">
        <f t="shared" si="1"/>
        <v>0.14045669237337863</v>
      </c>
      <c r="K33" s="304">
        <f t="shared" si="1"/>
        <v>0.24300398659730729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Xy6mC+R2NPkbnerKaVTpRLFQpe622CBi+ccxB6O5LiwyrtZe33Ad+U+k1gnwLr2wG+RBb5BspCP5R0ZfQj+7w==" saltValue="UdNb4lZFUudPQ6oBE4JY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